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ml.chartshapes+xml"/>
  <Override PartName="/xl/charts/chart20.xml" ContentType="application/vnd.openxmlformats-officedocument.drawingml.chart+xml"/>
  <Override PartName="/xl/drawings/drawing5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0" yWindow="310" windowWidth="19420" windowHeight="9280" activeTab="1"/>
  </bookViews>
  <sheets>
    <sheet name="Data" sheetId="1" r:id="rId1"/>
    <sheet name="Graphs" sheetId="2" r:id="rId2"/>
  </sheets>
  <calcPr calcId="145621"/>
</workbook>
</file>

<file path=xl/calcChain.xml><?xml version="1.0" encoding="utf-8"?>
<calcChain xmlns="http://schemas.openxmlformats.org/spreadsheetml/2006/main">
  <c r="F16" i="1" l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15" i="1"/>
  <c r="F14" i="1"/>
  <c r="P44" i="1"/>
  <c r="P43" i="1"/>
  <c r="P42" i="1"/>
  <c r="P41" i="1"/>
  <c r="P40" i="1"/>
  <c r="P39" i="1"/>
  <c r="P38" i="1"/>
  <c r="P37" i="1"/>
  <c r="P36" i="1"/>
  <c r="P35" i="1"/>
  <c r="P34" i="1"/>
  <c r="P33" i="1"/>
  <c r="P27" i="1"/>
  <c r="P26" i="1"/>
  <c r="P25" i="1"/>
  <c r="P32" i="1"/>
  <c r="P31" i="1"/>
  <c r="P30" i="1"/>
  <c r="P29" i="1"/>
  <c r="P28" i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D22" i="1" l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J20" i="1" l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Y23" i="1"/>
  <c r="S23" i="1"/>
  <c r="N23" i="1"/>
  <c r="AD23" i="1" l="1"/>
  <c r="AA23" i="1"/>
  <c r="T23" i="1"/>
  <c r="U23" i="1" s="1"/>
  <c r="M24" i="1"/>
  <c r="Q23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45" i="1"/>
  <c r="P24" i="1"/>
  <c r="R24" i="1" l="1"/>
  <c r="AS24" i="1"/>
  <c r="AS25" i="1" s="1"/>
  <c r="AS26" i="1" s="1"/>
  <c r="AS27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S44" i="1" s="1"/>
  <c r="AS45" i="1" s="1"/>
  <c r="AS46" i="1" s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S70" i="1" s="1"/>
  <c r="AS71" i="1" s="1"/>
  <c r="AS72" i="1" s="1"/>
  <c r="AS73" i="1" s="1"/>
  <c r="AE23" i="1"/>
  <c r="Q24" i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Z23" i="1"/>
  <c r="AQ23" i="1"/>
  <c r="O23" i="1"/>
  <c r="AL24" i="1"/>
  <c r="N24" i="1" s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T24" i="1" l="1"/>
  <c r="V24" i="1" s="1"/>
  <c r="S24" i="1"/>
  <c r="R25" i="1"/>
  <c r="AL25" i="1"/>
  <c r="AG29" i="1"/>
  <c r="AG30" i="1" s="1"/>
  <c r="AG31" i="1" s="1"/>
  <c r="AG32" i="1" s="1"/>
  <c r="AG33" i="1" s="1"/>
  <c r="L24" i="1"/>
  <c r="AI23" i="1"/>
  <c r="AJ23" i="1" s="1"/>
  <c r="U24" i="1" l="1"/>
  <c r="R26" i="1"/>
  <c r="R27" i="1" s="1"/>
  <c r="S25" i="1"/>
  <c r="L25" i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AL26" i="1"/>
  <c r="S26" i="1" l="1"/>
  <c r="R28" i="1"/>
  <c r="AL27" i="1"/>
  <c r="S27" i="1" s="1"/>
  <c r="AH24" i="1"/>
  <c r="AR23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26" i="1"/>
  <c r="AM25" i="1"/>
  <c r="AM24" i="1"/>
  <c r="R29" i="1" l="1"/>
  <c r="AN24" i="1"/>
  <c r="AQ24" i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L28" i="1"/>
  <c r="S28" i="1" s="1"/>
  <c r="AH25" i="1"/>
  <c r="AR24" i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R70" i="1" s="1"/>
  <c r="AR71" i="1" s="1"/>
  <c r="AR72" i="1" s="1"/>
  <c r="AR73" i="1" s="1"/>
  <c r="AP24" i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AP72" i="1" s="1"/>
  <c r="AP73" i="1" s="1"/>
  <c r="AB23" i="1"/>
  <c r="R30" i="1" l="1"/>
  <c r="AN25" i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O24" i="1"/>
  <c r="Z24" i="1"/>
  <c r="AL29" i="1"/>
  <c r="S29" i="1" s="1"/>
  <c r="AH26" i="1"/>
  <c r="AO24" i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G34" i="1"/>
  <c r="Z25" i="1" l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R31" i="1"/>
  <c r="O25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AI24" i="1"/>
  <c r="AJ24" i="1" s="1"/>
  <c r="AL30" i="1"/>
  <c r="S30" i="1" s="1"/>
  <c r="X24" i="1"/>
  <c r="AH27" i="1"/>
  <c r="M25" i="1"/>
  <c r="AD24" i="1" l="1"/>
  <c r="AE24" i="1" s="1"/>
  <c r="Y24" i="1"/>
  <c r="T25" i="1"/>
  <c r="V25" i="1" s="1"/>
  <c r="N25" i="1"/>
  <c r="AA24" i="1"/>
  <c r="AC24" i="1" s="1"/>
  <c r="R32" i="1"/>
  <c r="AI25" i="1"/>
  <c r="AJ25" i="1" s="1"/>
  <c r="AL31" i="1"/>
  <c r="S31" i="1" s="1"/>
  <c r="X25" i="1"/>
  <c r="AH28" i="1"/>
  <c r="M26" i="1"/>
  <c r="AF24" i="1" l="1"/>
  <c r="AD25" i="1"/>
  <c r="AE25" i="1" s="1"/>
  <c r="Y25" i="1"/>
  <c r="U25" i="1"/>
  <c r="T26" i="1"/>
  <c r="V26" i="1" s="1"/>
  <c r="N26" i="1"/>
  <c r="AB24" i="1"/>
  <c r="X26" i="1"/>
  <c r="AA25" i="1"/>
  <c r="AC25" i="1" s="1"/>
  <c r="R33" i="1"/>
  <c r="AI26" i="1"/>
  <c r="AJ26" i="1" s="1"/>
  <c r="AL32" i="1"/>
  <c r="S32" i="1" s="1"/>
  <c r="AH29" i="1"/>
  <c r="M27" i="1"/>
  <c r="U26" i="1" l="1"/>
  <c r="AD26" i="1"/>
  <c r="AE26" i="1" s="1"/>
  <c r="Y26" i="1"/>
  <c r="AF25" i="1"/>
  <c r="T27" i="1"/>
  <c r="U27" i="1" s="1"/>
  <c r="N27" i="1"/>
  <c r="AB25" i="1"/>
  <c r="X27" i="1"/>
  <c r="AA26" i="1"/>
  <c r="AC26" i="1" s="1"/>
  <c r="R34" i="1"/>
  <c r="AI27" i="1"/>
  <c r="AJ27" i="1" s="1"/>
  <c r="AL33" i="1"/>
  <c r="S33" i="1" s="1"/>
  <c r="AH30" i="1"/>
  <c r="M28" i="1"/>
  <c r="V27" i="1" l="1"/>
  <c r="AF26" i="1"/>
  <c r="AD27" i="1"/>
  <c r="AE27" i="1" s="1"/>
  <c r="Y27" i="1"/>
  <c r="T28" i="1"/>
  <c r="U28" i="1" s="1"/>
  <c r="N28" i="1"/>
  <c r="AF27" i="1"/>
  <c r="X28" i="1"/>
  <c r="AA27" i="1"/>
  <c r="AC27" i="1" s="1"/>
  <c r="AB26" i="1"/>
  <c r="R35" i="1"/>
  <c r="AI28" i="1"/>
  <c r="AJ28" i="1" s="1"/>
  <c r="AL34" i="1"/>
  <c r="S34" i="1" s="1"/>
  <c r="AH31" i="1"/>
  <c r="M29" i="1"/>
  <c r="AD28" i="1" l="1"/>
  <c r="AE28" i="1" s="1"/>
  <c r="Y28" i="1"/>
  <c r="V28" i="1"/>
  <c r="T29" i="1"/>
  <c r="U29" i="1" s="1"/>
  <c r="N29" i="1"/>
  <c r="X29" i="1"/>
  <c r="AA28" i="1"/>
  <c r="AC28" i="1" s="1"/>
  <c r="AB27" i="1"/>
  <c r="R36" i="1"/>
  <c r="AI29" i="1"/>
  <c r="AJ29" i="1" s="1"/>
  <c r="AL35" i="1"/>
  <c r="S35" i="1" s="1"/>
  <c r="AH32" i="1"/>
  <c r="M30" i="1"/>
  <c r="AD29" i="1" l="1"/>
  <c r="AE29" i="1" s="1"/>
  <c r="Y29" i="1"/>
  <c r="AF28" i="1"/>
  <c r="V29" i="1"/>
  <c r="T30" i="1"/>
  <c r="V30" i="1" s="1"/>
  <c r="N30" i="1"/>
  <c r="X30" i="1"/>
  <c r="AA29" i="1"/>
  <c r="AC29" i="1" s="1"/>
  <c r="AB28" i="1"/>
  <c r="R37" i="1"/>
  <c r="AI30" i="1"/>
  <c r="AJ30" i="1" s="1"/>
  <c r="AL36" i="1"/>
  <c r="S36" i="1" s="1"/>
  <c r="AH33" i="1"/>
  <c r="M31" i="1"/>
  <c r="U30" i="1" l="1"/>
  <c r="AF29" i="1"/>
  <c r="AD30" i="1"/>
  <c r="AE30" i="1" s="1"/>
  <c r="Y30" i="1"/>
  <c r="T31" i="1"/>
  <c r="V31" i="1" s="1"/>
  <c r="N31" i="1"/>
  <c r="AF30" i="1"/>
  <c r="X31" i="1"/>
  <c r="AA30" i="1"/>
  <c r="AC30" i="1" s="1"/>
  <c r="AB29" i="1"/>
  <c r="R38" i="1"/>
  <c r="AI31" i="1"/>
  <c r="AJ31" i="1" s="1"/>
  <c r="AL37" i="1"/>
  <c r="S37" i="1" s="1"/>
  <c r="AH34" i="1"/>
  <c r="M32" i="1"/>
  <c r="U31" i="1" l="1"/>
  <c r="AD31" i="1"/>
  <c r="AE31" i="1" s="1"/>
  <c r="Y31" i="1"/>
  <c r="T32" i="1"/>
  <c r="V32" i="1" s="1"/>
  <c r="N32" i="1"/>
  <c r="X32" i="1"/>
  <c r="AA31" i="1"/>
  <c r="AC31" i="1" s="1"/>
  <c r="AB30" i="1"/>
  <c r="R39" i="1"/>
  <c r="AI32" i="1"/>
  <c r="AJ32" i="1" s="1"/>
  <c r="AL38" i="1"/>
  <c r="S38" i="1" s="1"/>
  <c r="AH35" i="1"/>
  <c r="M33" i="1"/>
  <c r="AF31" i="1" l="1"/>
  <c r="AD32" i="1"/>
  <c r="AE32" i="1" s="1"/>
  <c r="Y32" i="1"/>
  <c r="U32" i="1"/>
  <c r="T33" i="1"/>
  <c r="U33" i="1" s="1"/>
  <c r="N33" i="1"/>
  <c r="X33" i="1"/>
  <c r="AA32" i="1"/>
  <c r="AC32" i="1" s="1"/>
  <c r="AB31" i="1"/>
  <c r="R40" i="1"/>
  <c r="AI33" i="1"/>
  <c r="AJ33" i="1" s="1"/>
  <c r="AL39" i="1"/>
  <c r="S39" i="1" s="1"/>
  <c r="AH36" i="1"/>
  <c r="M34" i="1"/>
  <c r="V33" i="1" l="1"/>
  <c r="AF32" i="1"/>
  <c r="AD33" i="1"/>
  <c r="AE33" i="1" s="1"/>
  <c r="Y33" i="1"/>
  <c r="T34" i="1"/>
  <c r="U34" i="1" s="1"/>
  <c r="N34" i="1"/>
  <c r="AF33" i="1"/>
  <c r="X34" i="1"/>
  <c r="AA33" i="1"/>
  <c r="AC33" i="1" s="1"/>
  <c r="AB32" i="1"/>
  <c r="R41" i="1"/>
  <c r="AI34" i="1"/>
  <c r="AJ34" i="1" s="1"/>
  <c r="AL40" i="1"/>
  <c r="S40" i="1" s="1"/>
  <c r="AH37" i="1"/>
  <c r="M35" i="1"/>
  <c r="AD34" i="1" l="1"/>
  <c r="AE34" i="1" s="1"/>
  <c r="Y34" i="1"/>
  <c r="V34" i="1"/>
  <c r="T35" i="1"/>
  <c r="U35" i="1" s="1"/>
  <c r="N35" i="1"/>
  <c r="X35" i="1"/>
  <c r="AA34" i="1"/>
  <c r="AC34" i="1" s="1"/>
  <c r="AB33" i="1"/>
  <c r="R42" i="1"/>
  <c r="AI35" i="1"/>
  <c r="AJ35" i="1" s="1"/>
  <c r="AL41" i="1"/>
  <c r="S41" i="1" s="1"/>
  <c r="AH38" i="1"/>
  <c r="M36" i="1"/>
  <c r="AF34" i="1" l="1"/>
  <c r="AD35" i="1"/>
  <c r="AE35" i="1" s="1"/>
  <c r="Y35" i="1"/>
  <c r="V35" i="1"/>
  <c r="T36" i="1"/>
  <c r="U36" i="1" s="1"/>
  <c r="N36" i="1"/>
  <c r="X36" i="1"/>
  <c r="AA35" i="1"/>
  <c r="AC35" i="1" s="1"/>
  <c r="AB34" i="1"/>
  <c r="R43" i="1"/>
  <c r="AI36" i="1"/>
  <c r="AJ36" i="1" s="1"/>
  <c r="AL42" i="1"/>
  <c r="S42" i="1" s="1"/>
  <c r="AH39" i="1"/>
  <c r="M37" i="1"/>
  <c r="V36" i="1" l="1"/>
  <c r="AD36" i="1"/>
  <c r="AE36" i="1" s="1"/>
  <c r="Y36" i="1"/>
  <c r="AF35" i="1"/>
  <c r="T37" i="1"/>
  <c r="U37" i="1" s="1"/>
  <c r="N37" i="1"/>
  <c r="X37" i="1"/>
  <c r="AA36" i="1"/>
  <c r="AC36" i="1" s="1"/>
  <c r="AB35" i="1"/>
  <c r="R44" i="1"/>
  <c r="AI37" i="1"/>
  <c r="AJ37" i="1" s="1"/>
  <c r="AL43" i="1"/>
  <c r="S43" i="1" s="1"/>
  <c r="AH40" i="1"/>
  <c r="M38" i="1"/>
  <c r="AF36" i="1" l="1"/>
  <c r="V37" i="1"/>
  <c r="AD37" i="1"/>
  <c r="AE37" i="1" s="1"/>
  <c r="Y37" i="1"/>
  <c r="T38" i="1"/>
  <c r="U38" i="1" s="1"/>
  <c r="N38" i="1"/>
  <c r="X38" i="1"/>
  <c r="AA37" i="1"/>
  <c r="AC37" i="1" s="1"/>
  <c r="AB36" i="1"/>
  <c r="R45" i="1"/>
  <c r="AI38" i="1"/>
  <c r="AJ38" i="1" s="1"/>
  <c r="AL44" i="1"/>
  <c r="S44" i="1" s="1"/>
  <c r="AH41" i="1"/>
  <c r="M39" i="1"/>
  <c r="AF37" i="1" l="1"/>
  <c r="V38" i="1"/>
  <c r="AD38" i="1"/>
  <c r="AE38" i="1" s="1"/>
  <c r="Y38" i="1"/>
  <c r="T39" i="1"/>
  <c r="U39" i="1" s="1"/>
  <c r="N39" i="1"/>
  <c r="X39" i="1"/>
  <c r="AA38" i="1"/>
  <c r="AC38" i="1" s="1"/>
  <c r="AB37" i="1"/>
  <c r="R46" i="1"/>
  <c r="AI39" i="1"/>
  <c r="AJ39" i="1" s="1"/>
  <c r="AL45" i="1"/>
  <c r="S45" i="1" s="1"/>
  <c r="AH42" i="1"/>
  <c r="M40" i="1"/>
  <c r="AF38" i="1" l="1"/>
  <c r="AD39" i="1"/>
  <c r="AE39" i="1" s="1"/>
  <c r="Y39" i="1"/>
  <c r="T40" i="1"/>
  <c r="U40" i="1" s="1"/>
  <c r="N40" i="1"/>
  <c r="V39" i="1"/>
  <c r="X40" i="1"/>
  <c r="AA39" i="1"/>
  <c r="AC39" i="1" s="1"/>
  <c r="AB38" i="1"/>
  <c r="R47" i="1"/>
  <c r="AI40" i="1"/>
  <c r="AJ40" i="1" s="1"/>
  <c r="AL46" i="1"/>
  <c r="S46" i="1" s="1"/>
  <c r="AH43" i="1"/>
  <c r="M41" i="1"/>
  <c r="V40" i="1" l="1"/>
  <c r="AF39" i="1"/>
  <c r="AD40" i="1"/>
  <c r="AE40" i="1" s="1"/>
  <c r="Y40" i="1"/>
  <c r="T41" i="1"/>
  <c r="U41" i="1" s="1"/>
  <c r="N41" i="1"/>
  <c r="AF40" i="1"/>
  <c r="X41" i="1"/>
  <c r="AA40" i="1"/>
  <c r="AC40" i="1" s="1"/>
  <c r="AB39" i="1"/>
  <c r="R48" i="1"/>
  <c r="AI41" i="1"/>
  <c r="AJ41" i="1" s="1"/>
  <c r="AL47" i="1"/>
  <c r="S47" i="1" s="1"/>
  <c r="AH44" i="1"/>
  <c r="M42" i="1"/>
  <c r="V41" i="1" l="1"/>
  <c r="AD41" i="1"/>
  <c r="AE41" i="1" s="1"/>
  <c r="Y41" i="1"/>
  <c r="T42" i="1"/>
  <c r="U42" i="1" s="1"/>
  <c r="N42" i="1"/>
  <c r="AF41" i="1"/>
  <c r="X42" i="1"/>
  <c r="AA41" i="1"/>
  <c r="AC41" i="1" s="1"/>
  <c r="AB40" i="1"/>
  <c r="R49" i="1"/>
  <c r="AI42" i="1"/>
  <c r="AJ42" i="1" s="1"/>
  <c r="AL48" i="1"/>
  <c r="S48" i="1" s="1"/>
  <c r="AH45" i="1"/>
  <c r="M43" i="1"/>
  <c r="V42" i="1" l="1"/>
  <c r="AD42" i="1"/>
  <c r="AE42" i="1" s="1"/>
  <c r="Y42" i="1"/>
  <c r="T43" i="1"/>
  <c r="U43" i="1" s="1"/>
  <c r="N43" i="1"/>
  <c r="X43" i="1"/>
  <c r="AA42" i="1"/>
  <c r="AC42" i="1" s="1"/>
  <c r="AB41" i="1"/>
  <c r="R50" i="1"/>
  <c r="AI43" i="1"/>
  <c r="AJ43" i="1" s="1"/>
  <c r="AL49" i="1"/>
  <c r="S49" i="1" s="1"/>
  <c r="AH46" i="1"/>
  <c r="M44" i="1"/>
  <c r="AF42" i="1" l="1"/>
  <c r="V43" i="1"/>
  <c r="AD43" i="1"/>
  <c r="AE43" i="1" s="1"/>
  <c r="Y43" i="1"/>
  <c r="T44" i="1"/>
  <c r="V44" i="1" s="1"/>
  <c r="N44" i="1"/>
  <c r="AF43" i="1"/>
  <c r="X44" i="1"/>
  <c r="AA43" i="1"/>
  <c r="AC43" i="1" s="1"/>
  <c r="AB42" i="1"/>
  <c r="R51" i="1"/>
  <c r="AI44" i="1"/>
  <c r="AJ44" i="1" s="1"/>
  <c r="AL50" i="1"/>
  <c r="S50" i="1" s="1"/>
  <c r="AH47" i="1"/>
  <c r="M45" i="1"/>
  <c r="U44" i="1" l="1"/>
  <c r="AD44" i="1"/>
  <c r="AE44" i="1" s="1"/>
  <c r="Y44" i="1"/>
  <c r="T45" i="1"/>
  <c r="U45" i="1" s="1"/>
  <c r="N45" i="1"/>
  <c r="AF44" i="1"/>
  <c r="X45" i="1"/>
  <c r="AA44" i="1"/>
  <c r="AC44" i="1" s="1"/>
  <c r="AB43" i="1"/>
  <c r="R52" i="1"/>
  <c r="AI45" i="1"/>
  <c r="AJ45" i="1" s="1"/>
  <c r="AL51" i="1"/>
  <c r="S51" i="1" s="1"/>
  <c r="AH48" i="1"/>
  <c r="M46" i="1"/>
  <c r="V45" i="1" l="1"/>
  <c r="AD45" i="1"/>
  <c r="AE45" i="1" s="1"/>
  <c r="Y45" i="1"/>
  <c r="T46" i="1"/>
  <c r="U46" i="1" s="1"/>
  <c r="N46" i="1"/>
  <c r="X46" i="1"/>
  <c r="AA45" i="1"/>
  <c r="AC45" i="1" s="1"/>
  <c r="AB44" i="1"/>
  <c r="R53" i="1"/>
  <c r="AI46" i="1"/>
  <c r="AJ46" i="1" s="1"/>
  <c r="AL52" i="1"/>
  <c r="S52" i="1" s="1"/>
  <c r="AH49" i="1"/>
  <c r="M47" i="1"/>
  <c r="AF45" i="1" l="1"/>
  <c r="V46" i="1"/>
  <c r="AD46" i="1"/>
  <c r="AE46" i="1" s="1"/>
  <c r="Y46" i="1"/>
  <c r="T47" i="1"/>
  <c r="V47" i="1" s="1"/>
  <c r="N47" i="1"/>
  <c r="X47" i="1"/>
  <c r="AA46" i="1"/>
  <c r="AC46" i="1" s="1"/>
  <c r="AB45" i="1"/>
  <c r="R54" i="1"/>
  <c r="AI47" i="1"/>
  <c r="AJ47" i="1" s="1"/>
  <c r="AL53" i="1"/>
  <c r="S53" i="1" s="1"/>
  <c r="AH50" i="1"/>
  <c r="M48" i="1"/>
  <c r="AF46" i="1" l="1"/>
  <c r="AD47" i="1"/>
  <c r="AE47" i="1" s="1"/>
  <c r="Y47" i="1"/>
  <c r="U47" i="1"/>
  <c r="T48" i="1"/>
  <c r="U48" i="1" s="1"/>
  <c r="N48" i="1"/>
  <c r="X48" i="1"/>
  <c r="AA47" i="1"/>
  <c r="AC47" i="1" s="1"/>
  <c r="AB46" i="1"/>
  <c r="R55" i="1"/>
  <c r="AI48" i="1"/>
  <c r="AJ48" i="1" s="1"/>
  <c r="AL54" i="1"/>
  <c r="S54" i="1" s="1"/>
  <c r="AH51" i="1"/>
  <c r="M49" i="1"/>
  <c r="AF47" i="1" l="1"/>
  <c r="V48" i="1"/>
  <c r="AD48" i="1"/>
  <c r="AE48" i="1" s="1"/>
  <c r="Y48" i="1"/>
  <c r="T49" i="1"/>
  <c r="U49" i="1" s="1"/>
  <c r="N49" i="1"/>
  <c r="X49" i="1"/>
  <c r="AA48" i="1"/>
  <c r="AC48" i="1" s="1"/>
  <c r="AB47" i="1"/>
  <c r="R56" i="1"/>
  <c r="AI49" i="1"/>
  <c r="AJ49" i="1" s="1"/>
  <c r="AL55" i="1"/>
  <c r="S55" i="1" s="1"/>
  <c r="AH52" i="1"/>
  <c r="M50" i="1"/>
  <c r="AF48" i="1" l="1"/>
  <c r="V49" i="1"/>
  <c r="AD49" i="1"/>
  <c r="AE49" i="1" s="1"/>
  <c r="Y49" i="1"/>
  <c r="T50" i="1"/>
  <c r="U50" i="1" s="1"/>
  <c r="N50" i="1"/>
  <c r="X50" i="1"/>
  <c r="AA49" i="1"/>
  <c r="AC49" i="1" s="1"/>
  <c r="AB48" i="1"/>
  <c r="R57" i="1"/>
  <c r="AI50" i="1"/>
  <c r="AJ50" i="1" s="1"/>
  <c r="AL56" i="1"/>
  <c r="S56" i="1" s="1"/>
  <c r="AH53" i="1"/>
  <c r="M51" i="1"/>
  <c r="AF49" i="1" l="1"/>
  <c r="AD50" i="1"/>
  <c r="AE50" i="1" s="1"/>
  <c r="Y50" i="1"/>
  <c r="V50" i="1"/>
  <c r="T51" i="1"/>
  <c r="U51" i="1" s="1"/>
  <c r="N51" i="1"/>
  <c r="X51" i="1"/>
  <c r="AA50" i="1"/>
  <c r="AC50" i="1" s="1"/>
  <c r="AB49" i="1"/>
  <c r="R58" i="1"/>
  <c r="AI51" i="1"/>
  <c r="AJ51" i="1" s="1"/>
  <c r="AL57" i="1"/>
  <c r="S57" i="1" s="1"/>
  <c r="AH54" i="1"/>
  <c r="M52" i="1"/>
  <c r="V51" i="1" l="1"/>
  <c r="AF50" i="1"/>
  <c r="AD51" i="1"/>
  <c r="AE51" i="1" s="1"/>
  <c r="Y51" i="1"/>
  <c r="T52" i="1"/>
  <c r="V52" i="1" s="1"/>
  <c r="N52" i="1"/>
  <c r="X52" i="1"/>
  <c r="AA51" i="1"/>
  <c r="AC51" i="1" s="1"/>
  <c r="AB50" i="1"/>
  <c r="R59" i="1"/>
  <c r="AI52" i="1"/>
  <c r="AJ52" i="1" s="1"/>
  <c r="AL58" i="1"/>
  <c r="S58" i="1" s="1"/>
  <c r="AH55" i="1"/>
  <c r="M53" i="1"/>
  <c r="AF51" i="1" l="1"/>
  <c r="AD52" i="1"/>
  <c r="AE52" i="1" s="1"/>
  <c r="Y52" i="1"/>
  <c r="U52" i="1"/>
  <c r="T53" i="1"/>
  <c r="U53" i="1" s="1"/>
  <c r="N53" i="1"/>
  <c r="X53" i="1"/>
  <c r="AA52" i="1"/>
  <c r="AC52" i="1" s="1"/>
  <c r="AB51" i="1"/>
  <c r="R60" i="1"/>
  <c r="AI53" i="1"/>
  <c r="AJ53" i="1" s="1"/>
  <c r="AL59" i="1"/>
  <c r="S59" i="1" s="1"/>
  <c r="AH56" i="1"/>
  <c r="M54" i="1"/>
  <c r="V53" i="1" l="1"/>
  <c r="AF52" i="1"/>
  <c r="AD53" i="1"/>
  <c r="AE53" i="1" s="1"/>
  <c r="Y53" i="1"/>
  <c r="T54" i="1"/>
  <c r="U54" i="1" s="1"/>
  <c r="N54" i="1"/>
  <c r="AF53" i="1"/>
  <c r="X54" i="1"/>
  <c r="AA53" i="1"/>
  <c r="AC53" i="1" s="1"/>
  <c r="AB52" i="1"/>
  <c r="R61" i="1"/>
  <c r="AI54" i="1"/>
  <c r="AJ54" i="1" s="1"/>
  <c r="AL60" i="1"/>
  <c r="S60" i="1" s="1"/>
  <c r="AH57" i="1"/>
  <c r="M55" i="1"/>
  <c r="AD54" i="1" l="1"/>
  <c r="AE54" i="1" s="1"/>
  <c r="Y54" i="1"/>
  <c r="V54" i="1"/>
  <c r="T55" i="1"/>
  <c r="V55" i="1" s="1"/>
  <c r="N55" i="1"/>
  <c r="X55" i="1"/>
  <c r="AA54" i="1"/>
  <c r="AC54" i="1" s="1"/>
  <c r="AB53" i="1"/>
  <c r="R62" i="1"/>
  <c r="AI55" i="1"/>
  <c r="AJ55" i="1" s="1"/>
  <c r="AL61" i="1"/>
  <c r="S61" i="1" s="1"/>
  <c r="AH58" i="1"/>
  <c r="M56" i="1"/>
  <c r="U55" i="1" l="1"/>
  <c r="AF54" i="1"/>
  <c r="AD55" i="1"/>
  <c r="AE55" i="1" s="1"/>
  <c r="Y55" i="1"/>
  <c r="T56" i="1"/>
  <c r="U56" i="1" s="1"/>
  <c r="N56" i="1"/>
  <c r="AF55" i="1"/>
  <c r="X56" i="1"/>
  <c r="AA55" i="1"/>
  <c r="AC55" i="1" s="1"/>
  <c r="AB54" i="1"/>
  <c r="R63" i="1"/>
  <c r="AI56" i="1"/>
  <c r="AJ56" i="1" s="1"/>
  <c r="AL62" i="1"/>
  <c r="S62" i="1" s="1"/>
  <c r="AH59" i="1"/>
  <c r="M57" i="1"/>
  <c r="AD56" i="1" l="1"/>
  <c r="AE56" i="1" s="1"/>
  <c r="Y56" i="1"/>
  <c r="T57" i="1"/>
  <c r="U57" i="1" s="1"/>
  <c r="N57" i="1"/>
  <c r="V56" i="1"/>
  <c r="X57" i="1"/>
  <c r="AA56" i="1"/>
  <c r="AC56" i="1" s="1"/>
  <c r="AB55" i="1"/>
  <c r="R64" i="1"/>
  <c r="AI57" i="1"/>
  <c r="AJ57" i="1" s="1"/>
  <c r="AL63" i="1"/>
  <c r="S63" i="1" s="1"/>
  <c r="AH60" i="1"/>
  <c r="M58" i="1"/>
  <c r="AF56" i="1" l="1"/>
  <c r="AD57" i="1"/>
  <c r="AE57" i="1" s="1"/>
  <c r="Y57" i="1"/>
  <c r="V57" i="1"/>
  <c r="T58" i="1"/>
  <c r="U58" i="1" s="1"/>
  <c r="N58" i="1"/>
  <c r="X58" i="1"/>
  <c r="AA57" i="1"/>
  <c r="AC57" i="1" s="1"/>
  <c r="AB56" i="1"/>
  <c r="R65" i="1"/>
  <c r="AI58" i="1"/>
  <c r="AJ58" i="1" s="1"/>
  <c r="AL64" i="1"/>
  <c r="S64" i="1" s="1"/>
  <c r="AH61" i="1"/>
  <c r="M59" i="1"/>
  <c r="AF57" i="1" l="1"/>
  <c r="V58" i="1"/>
  <c r="AD58" i="1"/>
  <c r="AE58" i="1" s="1"/>
  <c r="Y58" i="1"/>
  <c r="T59" i="1"/>
  <c r="U59" i="1" s="1"/>
  <c r="N59" i="1"/>
  <c r="X59" i="1"/>
  <c r="AA58" i="1"/>
  <c r="AC58" i="1" s="1"/>
  <c r="AB57" i="1"/>
  <c r="R66" i="1"/>
  <c r="AI59" i="1"/>
  <c r="AJ59" i="1" s="1"/>
  <c r="AL65" i="1"/>
  <c r="S65" i="1" s="1"/>
  <c r="AH62" i="1"/>
  <c r="M60" i="1"/>
  <c r="AF58" i="1" l="1"/>
  <c r="V59" i="1"/>
  <c r="AD59" i="1"/>
  <c r="AE59" i="1" s="1"/>
  <c r="Y59" i="1"/>
  <c r="T60" i="1"/>
  <c r="U60" i="1" s="1"/>
  <c r="N60" i="1"/>
  <c r="AF59" i="1"/>
  <c r="X60" i="1"/>
  <c r="AA59" i="1"/>
  <c r="AC59" i="1" s="1"/>
  <c r="AB58" i="1"/>
  <c r="R67" i="1"/>
  <c r="AI60" i="1"/>
  <c r="AJ60" i="1" s="1"/>
  <c r="AL66" i="1"/>
  <c r="S66" i="1" s="1"/>
  <c r="AH63" i="1"/>
  <c r="M61" i="1"/>
  <c r="V60" i="1" l="1"/>
  <c r="AD60" i="1"/>
  <c r="AE60" i="1" s="1"/>
  <c r="Y60" i="1"/>
  <c r="T61" i="1"/>
  <c r="V61" i="1" s="1"/>
  <c r="N61" i="1"/>
  <c r="X61" i="1"/>
  <c r="AA60" i="1"/>
  <c r="AC60" i="1" s="1"/>
  <c r="AB59" i="1"/>
  <c r="R68" i="1"/>
  <c r="AI61" i="1"/>
  <c r="AJ61" i="1" s="1"/>
  <c r="AL67" i="1"/>
  <c r="S67" i="1" s="1"/>
  <c r="AH64" i="1"/>
  <c r="M62" i="1"/>
  <c r="AF60" i="1" l="1"/>
  <c r="AD61" i="1"/>
  <c r="AE61" i="1" s="1"/>
  <c r="Y61" i="1"/>
  <c r="U61" i="1"/>
  <c r="T62" i="1"/>
  <c r="U62" i="1" s="1"/>
  <c r="N62" i="1"/>
  <c r="X62" i="1"/>
  <c r="AA61" i="1"/>
  <c r="AC61" i="1" s="1"/>
  <c r="AB60" i="1"/>
  <c r="R69" i="1"/>
  <c r="AI62" i="1"/>
  <c r="AJ62" i="1" s="1"/>
  <c r="AL68" i="1"/>
  <c r="S68" i="1" s="1"/>
  <c r="AH65" i="1"/>
  <c r="M63" i="1"/>
  <c r="AF61" i="1" l="1"/>
  <c r="AD62" i="1"/>
  <c r="AE62" i="1" s="1"/>
  <c r="Y62" i="1"/>
  <c r="V62" i="1"/>
  <c r="T63" i="1"/>
  <c r="U63" i="1" s="1"/>
  <c r="N63" i="1"/>
  <c r="X63" i="1"/>
  <c r="AA62" i="1"/>
  <c r="AC62" i="1" s="1"/>
  <c r="AB61" i="1"/>
  <c r="R70" i="1"/>
  <c r="AI63" i="1"/>
  <c r="AJ63" i="1" s="1"/>
  <c r="AL69" i="1"/>
  <c r="S69" i="1" s="1"/>
  <c r="AH66" i="1"/>
  <c r="M64" i="1"/>
  <c r="V63" i="1" l="1"/>
  <c r="AF62" i="1"/>
  <c r="AD63" i="1"/>
  <c r="AE63" i="1" s="1"/>
  <c r="Y63" i="1"/>
  <c r="T64" i="1"/>
  <c r="U64" i="1" s="1"/>
  <c r="N64" i="1"/>
  <c r="X64" i="1"/>
  <c r="AA63" i="1"/>
  <c r="AC63" i="1" s="1"/>
  <c r="AB62" i="1"/>
  <c r="R71" i="1"/>
  <c r="AI64" i="1"/>
  <c r="AJ64" i="1" s="1"/>
  <c r="AL70" i="1"/>
  <c r="S70" i="1" s="1"/>
  <c r="AH67" i="1"/>
  <c r="M65" i="1"/>
  <c r="AF63" i="1" l="1"/>
  <c r="AD64" i="1"/>
  <c r="AE64" i="1" s="1"/>
  <c r="Y64" i="1"/>
  <c r="T65" i="1"/>
  <c r="U65" i="1" s="1"/>
  <c r="N65" i="1"/>
  <c r="V64" i="1"/>
  <c r="X65" i="1"/>
  <c r="AA64" i="1"/>
  <c r="AC64" i="1" s="1"/>
  <c r="AB63" i="1"/>
  <c r="R72" i="1"/>
  <c r="AI65" i="1"/>
  <c r="AJ65" i="1" s="1"/>
  <c r="AL71" i="1"/>
  <c r="S71" i="1" s="1"/>
  <c r="AH68" i="1"/>
  <c r="M66" i="1"/>
  <c r="V65" i="1" l="1"/>
  <c r="AF64" i="1"/>
  <c r="AD65" i="1"/>
  <c r="AE65" i="1" s="1"/>
  <c r="Y65" i="1"/>
  <c r="T66" i="1"/>
  <c r="U66" i="1" s="1"/>
  <c r="N66" i="1"/>
  <c r="AF65" i="1"/>
  <c r="X66" i="1"/>
  <c r="AA65" i="1"/>
  <c r="AC65" i="1" s="1"/>
  <c r="AB64" i="1"/>
  <c r="R73" i="1"/>
  <c r="AI66" i="1"/>
  <c r="AJ66" i="1" s="1"/>
  <c r="AL72" i="1"/>
  <c r="S72" i="1" s="1"/>
  <c r="AH69" i="1"/>
  <c r="M67" i="1"/>
  <c r="V66" i="1" l="1"/>
  <c r="AD66" i="1"/>
  <c r="AE66" i="1" s="1"/>
  <c r="Y66" i="1"/>
  <c r="T67" i="1"/>
  <c r="U67" i="1" s="1"/>
  <c r="N67" i="1"/>
  <c r="X67" i="1"/>
  <c r="AA66" i="1"/>
  <c r="AC66" i="1" s="1"/>
  <c r="AB65" i="1"/>
  <c r="AI67" i="1"/>
  <c r="AJ67" i="1" s="1"/>
  <c r="AL73" i="1"/>
  <c r="S73" i="1" s="1"/>
  <c r="AH70" i="1"/>
  <c r="M68" i="1"/>
  <c r="AF66" i="1" l="1"/>
  <c r="V67" i="1"/>
  <c r="AD67" i="1"/>
  <c r="AE67" i="1" s="1"/>
  <c r="Y67" i="1"/>
  <c r="T68" i="1"/>
  <c r="U68" i="1" s="1"/>
  <c r="N68" i="1"/>
  <c r="AF67" i="1"/>
  <c r="X68" i="1"/>
  <c r="AA67" i="1"/>
  <c r="AC67" i="1" s="1"/>
  <c r="AB66" i="1"/>
  <c r="AI68" i="1"/>
  <c r="AJ68" i="1" s="1"/>
  <c r="AH71" i="1"/>
  <c r="M69" i="1"/>
  <c r="V68" i="1" l="1"/>
  <c r="AD68" i="1"/>
  <c r="AE68" i="1" s="1"/>
  <c r="Y68" i="1"/>
  <c r="T69" i="1"/>
  <c r="U69" i="1" s="1"/>
  <c r="N69" i="1"/>
  <c r="X69" i="1"/>
  <c r="AA68" i="1"/>
  <c r="AC68" i="1" s="1"/>
  <c r="AB67" i="1"/>
  <c r="AI69" i="1"/>
  <c r="AJ69" i="1" s="1"/>
  <c r="AH72" i="1"/>
  <c r="M70" i="1"/>
  <c r="V69" i="1" l="1"/>
  <c r="AF68" i="1"/>
  <c r="AD69" i="1"/>
  <c r="AE69" i="1" s="1"/>
  <c r="Y69" i="1"/>
  <c r="T70" i="1"/>
  <c r="U70" i="1" s="1"/>
  <c r="N70" i="1"/>
  <c r="X70" i="1"/>
  <c r="AA69" i="1"/>
  <c r="AC69" i="1" s="1"/>
  <c r="AB68" i="1"/>
  <c r="AI70" i="1"/>
  <c r="AJ70" i="1" s="1"/>
  <c r="AH73" i="1"/>
  <c r="M71" i="1"/>
  <c r="AF69" i="1" l="1"/>
  <c r="AD70" i="1"/>
  <c r="AE70" i="1" s="1"/>
  <c r="Y70" i="1"/>
  <c r="V70" i="1"/>
  <c r="T71" i="1"/>
  <c r="U71" i="1" s="1"/>
  <c r="N71" i="1"/>
  <c r="X71" i="1"/>
  <c r="AA70" i="1"/>
  <c r="AC70" i="1" s="1"/>
  <c r="AB69" i="1"/>
  <c r="AI71" i="1"/>
  <c r="AJ71" i="1" s="1"/>
  <c r="M72" i="1"/>
  <c r="AF70" i="1" l="1"/>
  <c r="AD71" i="1"/>
  <c r="AE71" i="1" s="1"/>
  <c r="Y71" i="1"/>
  <c r="V71" i="1"/>
  <c r="T72" i="1"/>
  <c r="V72" i="1" s="1"/>
  <c r="N72" i="1"/>
  <c r="X72" i="1"/>
  <c r="AA71" i="1"/>
  <c r="AC71" i="1" s="1"/>
  <c r="AB70" i="1"/>
  <c r="AI72" i="1"/>
  <c r="AJ72" i="1" s="1"/>
  <c r="M73" i="1"/>
  <c r="U72" i="1" l="1"/>
  <c r="AF71" i="1"/>
  <c r="AD72" i="1"/>
  <c r="AE72" i="1" s="1"/>
  <c r="Y72" i="1"/>
  <c r="T73" i="1"/>
  <c r="V73" i="1" s="1"/>
  <c r="N73" i="1"/>
  <c r="AF72" i="1"/>
  <c r="AB71" i="1"/>
  <c r="X73" i="1"/>
  <c r="Y73" i="1" s="1"/>
  <c r="AA72" i="1"/>
  <c r="AC72" i="1" s="1"/>
  <c r="AI73" i="1"/>
  <c r="AJ73" i="1" s="1"/>
  <c r="U73" i="1" l="1"/>
  <c r="AA73" i="1"/>
  <c r="AC73" i="1" s="1"/>
  <c r="AD73" i="1"/>
  <c r="AE73" i="1" s="1"/>
  <c r="AB72" i="1"/>
  <c r="AB73" i="1" l="1"/>
  <c r="AF73" i="1"/>
</calcChain>
</file>

<file path=xl/comments1.xml><?xml version="1.0" encoding="utf-8"?>
<comments xmlns="http://schemas.openxmlformats.org/spreadsheetml/2006/main">
  <authors>
    <author>Sam</author>
    <author>Sam Marsh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Discount rate as used in the 2008 valuation.
</t>
        </r>
      </text>
    </comment>
    <comment ref="G6" authorId="1">
      <text>
        <r>
          <rPr>
            <b/>
            <sz val="9"/>
            <color indexed="81"/>
            <rFont val="Tahoma"/>
            <charset val="1"/>
          </rPr>
          <t>Sam Marsh:</t>
        </r>
        <r>
          <rPr>
            <sz val="9"/>
            <color indexed="81"/>
            <rFont val="Tahoma"/>
            <charset val="1"/>
          </rPr>
          <t xml:space="preserve">
Discount rate as used in 2011 valuation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Discount rate as used in 2011 valuation with de-risking removed.</t>
        </r>
      </text>
    </comment>
    <comment ref="K6" authorId="1">
      <text>
        <r>
          <rPr>
            <b/>
            <sz val="9"/>
            <color indexed="81"/>
            <rFont val="Tahoma"/>
            <charset val="1"/>
          </rPr>
          <t>Sam Marsh:</t>
        </r>
        <r>
          <rPr>
            <sz val="9"/>
            <color indexed="81"/>
            <rFont val="Tahoma"/>
            <charset val="1"/>
          </rPr>
          <t xml:space="preserve">
Discount rate as found in consultation document, namely:
CPI-0.53% (Years 1-10)
CPI+2.8%, decreasing linearly to CPI+1.7% (Years 11-20)
CPI+1.7% thereafter</t>
        </r>
      </text>
    </comment>
    <comment ref="P6" authorId="1">
      <text>
        <r>
          <rPr>
            <b/>
            <sz val="9"/>
            <color indexed="81"/>
            <rFont val="Tahoma"/>
            <charset val="1"/>
          </rPr>
          <t>Sam Marsh:</t>
        </r>
        <r>
          <rPr>
            <sz val="9"/>
            <color indexed="81"/>
            <rFont val="Tahoma"/>
            <charset val="1"/>
          </rPr>
          <t xml:space="preserve">
Discount rate as found in consultation document, namely:
CPI-0.53%, decrerasing linearly to CPI-1.32% (Years 1-10)
CPI+2.56%, decreasing linearly to CPI+1.7% (Years 11-20)
CPI+1.7% thereafter</t>
        </r>
      </text>
    </comment>
    <comment ref="W6" authorId="1">
      <text>
        <r>
          <rPr>
            <b/>
            <sz val="9"/>
            <color indexed="81"/>
            <rFont val="Tahoma"/>
            <charset val="1"/>
          </rPr>
          <t>Sam Marsh:</t>
        </r>
        <r>
          <rPr>
            <sz val="9"/>
            <color indexed="81"/>
            <rFont val="Tahoma"/>
            <charset val="1"/>
          </rPr>
          <t xml:space="preserve">
Here, the discount rate remains at CPI+2.8% for years 11-50.</t>
        </r>
      </text>
    </comment>
    <comment ref="AG6" authorId="1">
      <text>
        <r>
          <rPr>
            <b/>
            <sz val="9"/>
            <color indexed="81"/>
            <rFont val="Tahoma"/>
            <charset val="1"/>
          </rPr>
          <t>Sam Marsh:</t>
        </r>
        <r>
          <rPr>
            <sz val="9"/>
            <color indexed="81"/>
            <rFont val="Tahoma"/>
            <charset val="1"/>
          </rPr>
          <t xml:space="preserve">
Here, the reversion of gilt yields happens gradually over Years 6-10 rather than a jump at Year 11.</t>
        </r>
      </text>
    </comment>
    <comment ref="AK6" authorId="1">
      <text>
        <r>
          <rPr>
            <b/>
            <sz val="9"/>
            <color indexed="81"/>
            <rFont val="Tahoma"/>
            <family val="2"/>
          </rPr>
          <t>Sam Marsh:</t>
        </r>
        <r>
          <rPr>
            <sz val="9"/>
            <color indexed="81"/>
            <rFont val="Tahoma"/>
            <family val="2"/>
          </rPr>
          <t xml:space="preserve">
Figures from consultation document.</t>
        </r>
      </text>
    </comment>
    <comment ref="AM6" authorId="1">
      <text>
        <r>
          <rPr>
            <b/>
            <sz val="9"/>
            <color indexed="81"/>
            <rFont val="Tahoma"/>
            <family val="2"/>
          </rPr>
          <t>Sam Marsh:</t>
        </r>
        <r>
          <rPr>
            <sz val="9"/>
            <color indexed="81"/>
            <rFont val="Tahoma"/>
            <family val="2"/>
          </rPr>
          <t xml:space="preserve">
CPI in Year 1
CPI+1% in Year 2
CPI+2% thereafter</t>
        </r>
      </text>
    </comment>
    <comment ref="AJ53" authorId="0">
      <text>
        <r>
          <rPr>
            <b/>
            <sz val="9"/>
            <color indexed="81"/>
            <rFont val="Tahoma"/>
            <charset val="1"/>
          </rPr>
          <t>Sam:</t>
        </r>
        <r>
          <rPr>
            <sz val="9"/>
            <color indexed="81"/>
            <rFont val="Tahoma"/>
            <charset val="1"/>
          </rPr>
          <t xml:space="preserve">
A soft-reversion of the discount rate over years 6-10 is equivalent to a boost of £4.9bn in the present value of the assets.</t>
        </r>
      </text>
    </comment>
    <comment ref="AE56" authorId="0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By 2050, removing de-risking is equivalent to a boost of £16.1bn in the present value of the assets. (See graph on right.)</t>
        </r>
      </text>
    </comment>
  </commentList>
</comments>
</file>

<file path=xl/sharedStrings.xml><?xml version="1.0" encoding="utf-8"?>
<sst xmlns="http://schemas.openxmlformats.org/spreadsheetml/2006/main" count="73" uniqueCount="57">
  <si>
    <t>Year</t>
  </si>
  <si>
    <t>CPI</t>
  </si>
  <si>
    <t>-</t>
  </si>
  <si>
    <t>Salary growth</t>
  </si>
  <si>
    <t>All figures in £bn</t>
  </si>
  <si>
    <t>Maximum reliance inflated with salary growth</t>
  </si>
  <si>
    <t>Discount rate B</t>
  </si>
  <si>
    <t>Asset growth B</t>
  </si>
  <si>
    <t>B: USS assumptions without de-risking</t>
  </si>
  <si>
    <t>C: USS assumptions with soft reversion in years 6-10</t>
  </si>
  <si>
    <t>Discount rate C</t>
  </si>
  <si>
    <t>Asset growth C</t>
  </si>
  <si>
    <t>Inflation assumptions</t>
  </si>
  <si>
    <t>Test 1 data</t>
  </si>
  <si>
    <t>Extra data</t>
  </si>
  <si>
    <t>Difference in assets (C - A)</t>
  </si>
  <si>
    <t>Present value of difference in assets (C - A)</t>
  </si>
  <si>
    <t>Comparison of USS asset growth under different dicount rate assumptions</t>
  </si>
  <si>
    <t>Compounded CPI</t>
  </si>
  <si>
    <t>Compounded salary growth</t>
  </si>
  <si>
    <t>Target reliance inflated with salary growth</t>
  </si>
  <si>
    <t>Target reliance inflated with CPI</t>
  </si>
  <si>
    <t>Maximum reliance inflated with CPI</t>
  </si>
  <si>
    <t>Asset growth B with extra £0.5bn pa contributions</t>
  </si>
  <si>
    <t>Discount rate A2</t>
  </si>
  <si>
    <t>Discount rate A1</t>
  </si>
  <si>
    <t>Compounded discount rate A2</t>
  </si>
  <si>
    <t>Asset growth A2</t>
  </si>
  <si>
    <t>Compounded discount rate A1</t>
  </si>
  <si>
    <t>Asset growth A1</t>
  </si>
  <si>
    <t>Asset growth A1 with extra £0.5bn pa contributions</t>
  </si>
  <si>
    <t>Difference in assets (A2 - A1)</t>
  </si>
  <si>
    <t>Present value of difference in assets (A2 - A1)</t>
  </si>
  <si>
    <t>Present value of difference in assets (B - A1)</t>
  </si>
  <si>
    <t>Difference in assets (B - A1)</t>
  </si>
  <si>
    <t>Present value of difference in assets (B - A2)</t>
  </si>
  <si>
    <t>Difference in assets (B - A2)</t>
  </si>
  <si>
    <t>Real terms difference in assets (A2 vs A1)</t>
  </si>
  <si>
    <t>Real terms difference in assets (B vs A1)</t>
  </si>
  <si>
    <t>Real terms difference in assets (B vs A2)</t>
  </si>
  <si>
    <t>Asset growth A1 (real terms)</t>
  </si>
  <si>
    <t>Asset growth A2 (real terms)</t>
  </si>
  <si>
    <t>Asset growth B (real terms)</t>
  </si>
  <si>
    <t>Assets + £16.1bn, de-risked by A2</t>
  </si>
  <si>
    <t>Forecast growth, 2011 discount rate</t>
  </si>
  <si>
    <t>2011 discount rate</t>
  </si>
  <si>
    <t>2014 discount rate</t>
  </si>
  <si>
    <t>Historical growth</t>
  </si>
  <si>
    <t>Annual investment returns</t>
  </si>
  <si>
    <t>Compounded investment returns</t>
  </si>
  <si>
    <t>Equivalent value of 2017 assets</t>
  </si>
  <si>
    <t>Forecast growth, 2014 discount rate</t>
  </si>
  <si>
    <t>Previous forecasts</t>
  </si>
  <si>
    <t>A1: 2017 assumptions (September valuation)</t>
  </si>
  <si>
    <t>A2: 2017 assumptions (November valuation)</t>
  </si>
  <si>
    <t>2008 discount rate</t>
  </si>
  <si>
    <t>Forecast growth, 2008 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</si>
</sst>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/>
      <bottom style="thick">
        <color theme="4"/>
      </bottom>
      <diagonal/>
    </border>
    <border>
      <left style="thin">
        <color theme="4"/>
      </left>
      <right style="thick">
        <color theme="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0" fontId="0" fillId="2" borderId="3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0" borderId="0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0" fontId="0" fillId="3" borderId="3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0" fontId="0" fillId="3" borderId="0" xfId="0" applyNumberFormat="1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49"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 style="thick">
          <color theme="4"/>
        </right>
        <top/>
        <bottom/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ck">
          <color theme="4"/>
        </right>
        <top/>
        <bottom/>
        <vertical/>
        <horizontal/>
      </border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font>
        <b/>
      </font>
      <numFmt numFmtId="14" formatCode="0.00%"/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font>
        <b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border diagonalUp="0" diagonalDown="0">
        <left style="thick">
          <color theme="4"/>
        </left>
        <right style="thick">
          <color theme="4"/>
        </right>
        <top style="thick">
          <color theme="4"/>
        </top>
        <bottom style="thick">
          <color theme="4"/>
        </bottom>
      </border>
    </dxf>
    <dxf>
      <alignment horizontal="center" vertical="bottom" textRotation="0" wrapText="0" indent="0" justifyLastLine="0" shrinkToFit="0" readingOrder="0"/>
    </dxf>
    <dxf>
      <border>
        <bottom style="thick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6900C0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By 2050, USS's de-risking is expected to  have removed £44.8bn from the</a:t>
            </a:r>
            <a:r>
              <a:rPr lang="en-US" sz="2800" baseline="0"/>
              <a:t> value of its</a:t>
            </a:r>
            <a:r>
              <a:rPr lang="en-US" sz="2800"/>
              <a:t> assets (£16.1bn in present value)</a:t>
            </a:r>
          </a:p>
        </c:rich>
      </c:tx>
      <c:layout>
        <c:manualLayout>
          <c:xMode val="edge"/>
          <c:yMode val="edge"/>
          <c:x val="0.1427009859061735"/>
          <c:y val="5.38535982858670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1"/>
          <c:order val="0"/>
          <c:tx>
            <c:v>Projected assets (without de-risking)</c:v>
          </c:tx>
          <c:spPr>
            <a:ln w="19050"/>
          </c:spPr>
          <c:marker>
            <c:symbol val="none"/>
          </c:marker>
          <c:xVal>
            <c:numRef>
              <c:f>Data!$A$23:$A$56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Data!$X$23:$X$56</c:f>
              <c:numCache>
                <c:formatCode>0.0</c:formatCode>
                <c:ptCount val="34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  <c:pt idx="21">
                  <c:v>124.13533678157282</c:v>
                </c:pt>
                <c:pt idx="22">
                  <c:v>130.73933669835247</c:v>
                </c:pt>
                <c:pt idx="23">
                  <c:v>137.52470827299697</c:v>
                </c:pt>
                <c:pt idx="24">
                  <c:v>144.45595356995602</c:v>
                </c:pt>
                <c:pt idx="25">
                  <c:v>151.50540410416988</c:v>
                </c:pt>
                <c:pt idx="26">
                  <c:v>158.64130863747627</c:v>
                </c:pt>
                <c:pt idx="27">
                  <c:v>165.87535231134521</c:v>
                </c:pt>
                <c:pt idx="28">
                  <c:v>173.19045534827555</c:v>
                </c:pt>
                <c:pt idx="29">
                  <c:v>180.5856877916469</c:v>
                </c:pt>
                <c:pt idx="30">
                  <c:v>188.07999383500027</c:v>
                </c:pt>
                <c:pt idx="31">
                  <c:v>195.71604158470126</c:v>
                </c:pt>
                <c:pt idx="32">
                  <c:v>203.54468324808931</c:v>
                </c:pt>
                <c:pt idx="33">
                  <c:v>211.60505270471367</c:v>
                </c:pt>
              </c:numCache>
            </c:numRef>
          </c:yVal>
          <c:smooth val="1"/>
        </c:ser>
        <c:ser>
          <c:idx val="0"/>
          <c:order val="1"/>
          <c:tx>
            <c:v>Projected assets (with de-risking)</c:v>
          </c:tx>
          <c:spPr>
            <a:ln w="19050"/>
          </c:spPr>
          <c:marker>
            <c:symbol val="none"/>
          </c:marker>
          <c:xVal>
            <c:numRef>
              <c:f>Data!$A$23:$A$56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Data!$R$23:$R$56</c:f>
              <c:numCache>
                <c:formatCode>0.0</c:formatCode>
                <c:ptCount val="34"/>
                <c:pt idx="0">
                  <c:v>60</c:v>
                </c:pt>
                <c:pt idx="1">
                  <c:v>61.2</c:v>
                </c:pt>
                <c:pt idx="2">
                  <c:v>61.599024000000007</c:v>
                </c:pt>
                <c:pt idx="3">
                  <c:v>61.94028259296001</c:v>
                </c:pt>
                <c:pt idx="4">
                  <c:v>62.321834733732643</c:v>
                </c:pt>
                <c:pt idx="5">
                  <c:v>62.750608956700724</c:v>
                </c:pt>
                <c:pt idx="6">
                  <c:v>63.24633876745866</c:v>
                </c:pt>
                <c:pt idx="7">
                  <c:v>63.804171475387648</c:v>
                </c:pt>
                <c:pt idx="8">
                  <c:v>64.432004522705469</c:v>
                </c:pt>
                <c:pt idx="9">
                  <c:v>65.112406490465233</c:v>
                </c:pt>
                <c:pt idx="10">
                  <c:v>65.833851954379583</c:v>
                </c:pt>
                <c:pt idx="11">
                  <c:v>69.197961789248367</c:v>
                </c:pt>
                <c:pt idx="12">
                  <c:v>72.743665351329454</c:v>
                </c:pt>
                <c:pt idx="13">
                  <c:v>76.473960510545623</c:v>
                </c:pt>
                <c:pt idx="14">
                  <c:v>80.375661975793662</c:v>
                </c:pt>
                <c:pt idx="15">
                  <c:v>84.447493011487367</c:v>
                </c:pt>
                <c:pt idx="16">
                  <c:v>88.669867662061733</c:v>
                </c:pt>
                <c:pt idx="17">
                  <c:v>93.027104958975443</c:v>
                </c:pt>
                <c:pt idx="18">
                  <c:v>97.499848165402966</c:v>
                </c:pt>
                <c:pt idx="19">
                  <c:v>102.0550410716906</c:v>
                </c:pt>
                <c:pt idx="20">
                  <c:v>106.66384672648815</c:v>
                </c:pt>
                <c:pt idx="21">
                  <c:v>111.29305767441774</c:v>
                </c:pt>
                <c:pt idx="22">
                  <c:v>115.98962470827817</c:v>
                </c:pt>
                <c:pt idx="23">
                  <c:v>120.73360035884674</c:v>
                </c:pt>
                <c:pt idx="24">
                  <c:v>125.49050421298531</c:v>
                </c:pt>
                <c:pt idx="25">
                  <c:v>130.23404527223616</c:v>
                </c:pt>
                <c:pt idx="26">
                  <c:v>134.9354943065639</c:v>
                </c:pt>
                <c:pt idx="27">
                  <c:v>139.60426240957099</c:v>
                </c:pt>
                <c:pt idx="28">
                  <c:v>144.22516349532779</c:v>
                </c:pt>
                <c:pt idx="29">
                  <c:v>148.79710117812968</c:v>
                </c:pt>
                <c:pt idx="30">
                  <c:v>153.33541276406262</c:v>
                </c:pt>
                <c:pt idx="31">
                  <c:v>157.8741409818789</c:v>
                </c:pt>
                <c:pt idx="32">
                  <c:v>162.45249107035337</c:v>
                </c:pt>
                <c:pt idx="33">
                  <c:v>167.09863231496547</c:v>
                </c:pt>
              </c:numCache>
            </c:numRef>
          </c:yVal>
          <c:smooth val="1"/>
        </c:ser>
        <c:ser>
          <c:idx val="2"/>
          <c:order val="2"/>
          <c:tx>
            <c:v>Projected assets with extra £16.1bn (with de-risking)</c:v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Data!$A$23:$A$56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Data!$AS$23:$AS$56</c:f>
              <c:numCache>
                <c:formatCode>0.0</c:formatCode>
                <c:ptCount val="34"/>
                <c:pt idx="0" formatCode="General">
                  <c:v>76.099999999999994</c:v>
                </c:pt>
                <c:pt idx="1">
                  <c:v>77.622</c:v>
                </c:pt>
                <c:pt idx="2">
                  <c:v>78.12809544000001</c:v>
                </c:pt>
                <c:pt idx="3">
                  <c:v>78.560925088737619</c:v>
                </c:pt>
                <c:pt idx="4">
                  <c:v>79.044860387284245</c:v>
                </c:pt>
                <c:pt idx="5">
                  <c:v>79.588689026748767</c:v>
                </c:pt>
                <c:pt idx="6">
                  <c:v>80.217439670060088</c:v>
                </c:pt>
                <c:pt idx="7">
                  <c:v>80.924957487950024</c:v>
                </c:pt>
                <c:pt idx="8">
                  <c:v>81.721259069631458</c:v>
                </c:pt>
                <c:pt idx="9">
                  <c:v>82.584235565406757</c:v>
                </c:pt>
                <c:pt idx="10">
                  <c:v>83.499268895471459</c:v>
                </c:pt>
                <c:pt idx="11">
                  <c:v>87.766081536030043</c:v>
                </c:pt>
                <c:pt idx="12">
                  <c:v>92.26321555393622</c:v>
                </c:pt>
                <c:pt idx="13">
                  <c:v>96.994473247542075</c:v>
                </c:pt>
                <c:pt idx="14">
                  <c:v>101.94313127263167</c:v>
                </c:pt>
                <c:pt idx="15">
                  <c:v>107.10757030290318</c:v>
                </c:pt>
                <c:pt idx="16">
                  <c:v>112.46294881804835</c:v>
                </c:pt>
                <c:pt idx="17">
                  <c:v>117.98937812296724</c:v>
                </c:pt>
                <c:pt idx="18">
                  <c:v>123.66230742311949</c:v>
                </c:pt>
                <c:pt idx="19">
                  <c:v>129.43981042592765</c:v>
                </c:pt>
                <c:pt idx="20">
                  <c:v>135.28531226476255</c:v>
                </c:pt>
                <c:pt idx="21">
                  <c:v>141.15669481705325</c:v>
                </c:pt>
                <c:pt idx="22">
                  <c:v>147.11350733833291</c:v>
                </c:pt>
                <c:pt idx="23">
                  <c:v>153.13044978847071</c:v>
                </c:pt>
                <c:pt idx="24">
                  <c:v>159.16378951013647</c:v>
                </c:pt>
                <c:pt idx="25">
                  <c:v>165.18018075361962</c:v>
                </c:pt>
                <c:pt idx="26">
                  <c:v>171.14318527882529</c:v>
                </c:pt>
                <c:pt idx="27">
                  <c:v>177.06473948947263</c:v>
                </c:pt>
                <c:pt idx="28">
                  <c:v>182.92558236657416</c:v>
                </c:pt>
                <c:pt idx="29">
                  <c:v>188.72432332759456</c:v>
                </c:pt>
                <c:pt idx="30">
                  <c:v>194.48041518908619</c:v>
                </c:pt>
                <c:pt idx="31">
                  <c:v>200.23703547868314</c:v>
                </c:pt>
                <c:pt idx="32">
                  <c:v>206.04390950756493</c:v>
                </c:pt>
                <c:pt idx="33">
                  <c:v>211.93676531948128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45824"/>
        <c:axId val="183256192"/>
      </c:scatterChart>
      <c:valAx>
        <c:axId val="183245824"/>
        <c:scaling>
          <c:orientation val="minMax"/>
          <c:max val="2050"/>
          <c:min val="2017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256192"/>
        <c:crosses val="autoZero"/>
        <c:crossBetween val="midCat"/>
        <c:majorUnit val="5"/>
        <c:minorUnit val="1"/>
      </c:valAx>
      <c:valAx>
        <c:axId val="183256192"/>
        <c:scaling>
          <c:orientation val="minMax"/>
          <c:max val="22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245824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0589817029173876"/>
          <c:h val="0.561928373251849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Data!$D$7:$D$20</c:f>
              <c:numCache>
                <c:formatCode>0.0</c:formatCode>
                <c:ptCount val="14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ser>
          <c:idx val="2"/>
          <c:order val="2"/>
          <c:tx>
            <c:v>Forecast growth, 2014 prudent assumptions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Data!$A$20:$A$56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Data!$J$20:$J$56</c:f>
              <c:numCache>
                <c:formatCode>0.0</c:formatCode>
                <c:ptCount val="37"/>
                <c:pt idx="0">
                  <c:v>41.698002141928789</c:v>
                </c:pt>
                <c:pt idx="1">
                  <c:v>43.86629825330909</c:v>
                </c:pt>
                <c:pt idx="2">
                  <c:v>46.147345762481166</c:v>
                </c:pt>
                <c:pt idx="3">
                  <c:v>48.547007742130191</c:v>
                </c:pt>
                <c:pt idx="4">
                  <c:v>51.071452144720965</c:v>
                </c:pt>
                <c:pt idx="5">
                  <c:v>53.727167656246458</c:v>
                </c:pt>
                <c:pt idx="6">
                  <c:v>56.520980374371277</c:v>
                </c:pt>
                <c:pt idx="7">
                  <c:v>59.460071353838586</c:v>
                </c:pt>
                <c:pt idx="8">
                  <c:v>62.551995064238199</c:v>
                </c:pt>
                <c:pt idx="9">
                  <c:v>65.804698807578589</c:v>
                </c:pt>
                <c:pt idx="10">
                  <c:v>69.226543145572677</c:v>
                </c:pt>
                <c:pt idx="11">
                  <c:v>72.826323389142459</c:v>
                </c:pt>
                <c:pt idx="12">
                  <c:v>76.613292205377874</c:v>
                </c:pt>
                <c:pt idx="13">
                  <c:v>80.597183400057531</c:v>
                </c:pt>
                <c:pt idx="14">
                  <c:v>84.788236936860528</c:v>
                </c:pt>
                <c:pt idx="15">
                  <c:v>89.197225257577273</c:v>
                </c:pt>
                <c:pt idx="16">
                  <c:v>93.83548097097129</c:v>
                </c:pt>
                <c:pt idx="17">
                  <c:v>98.714925981461803</c:v>
                </c:pt>
                <c:pt idx="18">
                  <c:v>103.84810213249783</c:v>
                </c:pt>
                <c:pt idx="19">
                  <c:v>109.24820344338772</c:v>
                </c:pt>
                <c:pt idx="20">
                  <c:v>114.92911002244389</c:v>
                </c:pt>
                <c:pt idx="21">
                  <c:v>120.90542374361098</c:v>
                </c:pt>
                <c:pt idx="22">
                  <c:v>127.19250577827876</c:v>
                </c:pt>
                <c:pt idx="23">
                  <c:v>133.80651607874927</c:v>
                </c:pt>
                <c:pt idx="24">
                  <c:v>140.76445491484424</c:v>
                </c:pt>
                <c:pt idx="25">
                  <c:v>148.08420657041614</c:v>
                </c:pt>
                <c:pt idx="26">
                  <c:v>155.78458531207778</c:v>
                </c:pt>
                <c:pt idx="27">
                  <c:v>163.88538374830583</c:v>
                </c:pt>
                <c:pt idx="28">
                  <c:v>172.40742370321775</c:v>
                </c:pt>
                <c:pt idx="29">
                  <c:v>181.37260973578506</c:v>
                </c:pt>
                <c:pt idx="30">
                  <c:v>190.8039854420459</c:v>
                </c:pt>
                <c:pt idx="31">
                  <c:v>200.7257926850323</c:v>
                </c:pt>
                <c:pt idx="32">
                  <c:v>211.163533904654</c:v>
                </c:pt>
                <c:pt idx="33">
                  <c:v>222.14403766769601</c:v>
                </c:pt>
                <c:pt idx="34">
                  <c:v>233.69552762641621</c:v>
                </c:pt>
                <c:pt idx="35">
                  <c:v>245.84769506298986</c:v>
                </c:pt>
                <c:pt idx="36">
                  <c:v>258.63177520626533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55392"/>
        <c:axId val="184569856"/>
      </c:scatterChart>
      <c:valAx>
        <c:axId val="184555392"/>
        <c:scaling>
          <c:orientation val="minMax"/>
          <c:max val="201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569856"/>
        <c:crosses val="autoZero"/>
        <c:crossBetween val="midCat"/>
        <c:majorUnit val="5"/>
        <c:minorUnit val="1"/>
      </c:valAx>
      <c:valAx>
        <c:axId val="184569856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555392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66359599323212348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ser>
          <c:idx val="2"/>
          <c:order val="2"/>
          <c:tx>
            <c:v>Forecast growth, 2014 prudent assumptions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Data!$A$20:$A$56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Data!$J$20:$J$56</c:f>
              <c:numCache>
                <c:formatCode>0.0</c:formatCode>
                <c:ptCount val="37"/>
                <c:pt idx="0">
                  <c:v>41.698002141928789</c:v>
                </c:pt>
                <c:pt idx="1">
                  <c:v>43.86629825330909</c:v>
                </c:pt>
                <c:pt idx="2">
                  <c:v>46.147345762481166</c:v>
                </c:pt>
                <c:pt idx="3">
                  <c:v>48.547007742130191</c:v>
                </c:pt>
                <c:pt idx="4">
                  <c:v>51.071452144720965</c:v>
                </c:pt>
                <c:pt idx="5">
                  <c:v>53.727167656246458</c:v>
                </c:pt>
                <c:pt idx="6">
                  <c:v>56.520980374371277</c:v>
                </c:pt>
                <c:pt idx="7">
                  <c:v>59.460071353838586</c:v>
                </c:pt>
                <c:pt idx="8">
                  <c:v>62.551995064238199</c:v>
                </c:pt>
                <c:pt idx="9">
                  <c:v>65.804698807578589</c:v>
                </c:pt>
                <c:pt idx="10">
                  <c:v>69.226543145572677</c:v>
                </c:pt>
                <c:pt idx="11">
                  <c:v>72.826323389142459</c:v>
                </c:pt>
                <c:pt idx="12">
                  <c:v>76.613292205377874</c:v>
                </c:pt>
                <c:pt idx="13">
                  <c:v>80.597183400057531</c:v>
                </c:pt>
                <c:pt idx="14">
                  <c:v>84.788236936860528</c:v>
                </c:pt>
                <c:pt idx="15">
                  <c:v>89.197225257577273</c:v>
                </c:pt>
                <c:pt idx="16">
                  <c:v>93.83548097097129</c:v>
                </c:pt>
                <c:pt idx="17">
                  <c:v>98.714925981461803</c:v>
                </c:pt>
                <c:pt idx="18">
                  <c:v>103.84810213249783</c:v>
                </c:pt>
                <c:pt idx="19">
                  <c:v>109.24820344338772</c:v>
                </c:pt>
                <c:pt idx="20">
                  <c:v>114.92911002244389</c:v>
                </c:pt>
                <c:pt idx="21">
                  <c:v>120.90542374361098</c:v>
                </c:pt>
                <c:pt idx="22">
                  <c:v>127.19250577827876</c:v>
                </c:pt>
                <c:pt idx="23">
                  <c:v>133.80651607874927</c:v>
                </c:pt>
                <c:pt idx="24">
                  <c:v>140.76445491484424</c:v>
                </c:pt>
                <c:pt idx="25">
                  <c:v>148.08420657041614</c:v>
                </c:pt>
                <c:pt idx="26">
                  <c:v>155.78458531207778</c:v>
                </c:pt>
                <c:pt idx="27">
                  <c:v>163.88538374830583</c:v>
                </c:pt>
                <c:pt idx="28">
                  <c:v>172.40742370321775</c:v>
                </c:pt>
                <c:pt idx="29">
                  <c:v>181.37260973578506</c:v>
                </c:pt>
                <c:pt idx="30">
                  <c:v>190.8039854420459</c:v>
                </c:pt>
                <c:pt idx="31">
                  <c:v>200.7257926850323</c:v>
                </c:pt>
                <c:pt idx="32">
                  <c:v>211.163533904654</c:v>
                </c:pt>
                <c:pt idx="33">
                  <c:v>222.14403766769601</c:v>
                </c:pt>
                <c:pt idx="34">
                  <c:v>233.69552762641621</c:v>
                </c:pt>
                <c:pt idx="35">
                  <c:v>245.84769506298986</c:v>
                </c:pt>
                <c:pt idx="36">
                  <c:v>258.63177520626533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2736"/>
        <c:axId val="184619008"/>
      </c:scatterChart>
      <c:valAx>
        <c:axId val="184612736"/>
        <c:scaling>
          <c:orientation val="minMax"/>
          <c:max val="201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619008"/>
        <c:crosses val="autoZero"/>
        <c:crossBetween val="midCat"/>
        <c:majorUnit val="5"/>
        <c:minorUnit val="1"/>
      </c:valAx>
      <c:valAx>
        <c:axId val="184619008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612736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6557643730657015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Data!$A$17:$A$23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xVal>
          <c:yVal>
            <c:numRef>
              <c:f>Data!$H$17:$H$23</c:f>
              <c:numCache>
                <c:formatCode>0.0</c:formatCode>
                <c:ptCount val="7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</c:numCache>
            </c:numRef>
          </c:yVal>
          <c:smooth val="1"/>
        </c:ser>
        <c:ser>
          <c:idx val="2"/>
          <c:order val="2"/>
          <c:tx>
            <c:v>Forecast growth, 2014 prudent assumptions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Data!$A$20:$A$23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Data!$J$20:$J$23</c:f>
              <c:numCache>
                <c:formatCode>0.0</c:formatCode>
                <c:ptCount val="4"/>
                <c:pt idx="0">
                  <c:v>41.698002141928789</c:v>
                </c:pt>
                <c:pt idx="1">
                  <c:v>43.86629825330909</c:v>
                </c:pt>
                <c:pt idx="2">
                  <c:v>46.147345762481166</c:v>
                </c:pt>
                <c:pt idx="3">
                  <c:v>48.547007742130191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49600"/>
        <c:axId val="184659968"/>
      </c:scatterChart>
      <c:valAx>
        <c:axId val="184649600"/>
        <c:scaling>
          <c:orientation val="minMax"/>
          <c:max val="203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659968"/>
        <c:crosses val="autoZero"/>
        <c:crossBetween val="midCat"/>
        <c:majorUnit val="5"/>
        <c:minorUnit val="1"/>
      </c:valAx>
      <c:valAx>
        <c:axId val="184659968"/>
        <c:scaling>
          <c:orientation val="minMax"/>
          <c:max val="15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649600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68317504364817838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ser>
          <c:idx val="2"/>
          <c:order val="2"/>
          <c:tx>
            <c:v>Forecast growth, 2014 prudent assumptions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Data!$A$20:$A$56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Data!$J$20:$J$56</c:f>
              <c:numCache>
                <c:formatCode>0.0</c:formatCode>
                <c:ptCount val="37"/>
                <c:pt idx="0">
                  <c:v>41.698002141928789</c:v>
                </c:pt>
                <c:pt idx="1">
                  <c:v>43.86629825330909</c:v>
                </c:pt>
                <c:pt idx="2">
                  <c:v>46.147345762481166</c:v>
                </c:pt>
                <c:pt idx="3">
                  <c:v>48.547007742130191</c:v>
                </c:pt>
                <c:pt idx="4">
                  <c:v>51.071452144720965</c:v>
                </c:pt>
                <c:pt idx="5">
                  <c:v>53.727167656246458</c:v>
                </c:pt>
                <c:pt idx="6">
                  <c:v>56.520980374371277</c:v>
                </c:pt>
                <c:pt idx="7">
                  <c:v>59.460071353838586</c:v>
                </c:pt>
                <c:pt idx="8">
                  <c:v>62.551995064238199</c:v>
                </c:pt>
                <c:pt idx="9">
                  <c:v>65.804698807578589</c:v>
                </c:pt>
                <c:pt idx="10">
                  <c:v>69.226543145572677</c:v>
                </c:pt>
                <c:pt idx="11">
                  <c:v>72.826323389142459</c:v>
                </c:pt>
                <c:pt idx="12">
                  <c:v>76.613292205377874</c:v>
                </c:pt>
                <c:pt idx="13">
                  <c:v>80.597183400057531</c:v>
                </c:pt>
                <c:pt idx="14">
                  <c:v>84.788236936860528</c:v>
                </c:pt>
                <c:pt idx="15">
                  <c:v>89.197225257577273</c:v>
                </c:pt>
                <c:pt idx="16">
                  <c:v>93.83548097097129</c:v>
                </c:pt>
                <c:pt idx="17">
                  <c:v>98.714925981461803</c:v>
                </c:pt>
                <c:pt idx="18">
                  <c:v>103.84810213249783</c:v>
                </c:pt>
                <c:pt idx="19">
                  <c:v>109.24820344338772</c:v>
                </c:pt>
                <c:pt idx="20">
                  <c:v>114.92911002244389</c:v>
                </c:pt>
                <c:pt idx="21">
                  <c:v>120.90542374361098</c:v>
                </c:pt>
                <c:pt idx="22">
                  <c:v>127.19250577827876</c:v>
                </c:pt>
                <c:pt idx="23">
                  <c:v>133.80651607874927</c:v>
                </c:pt>
                <c:pt idx="24">
                  <c:v>140.76445491484424</c:v>
                </c:pt>
                <c:pt idx="25">
                  <c:v>148.08420657041614</c:v>
                </c:pt>
                <c:pt idx="26">
                  <c:v>155.78458531207778</c:v>
                </c:pt>
                <c:pt idx="27">
                  <c:v>163.88538374830583</c:v>
                </c:pt>
                <c:pt idx="28">
                  <c:v>172.40742370321775</c:v>
                </c:pt>
                <c:pt idx="29">
                  <c:v>181.37260973578506</c:v>
                </c:pt>
                <c:pt idx="30">
                  <c:v>190.8039854420459</c:v>
                </c:pt>
                <c:pt idx="31">
                  <c:v>200.7257926850323</c:v>
                </c:pt>
                <c:pt idx="32">
                  <c:v>211.163533904654</c:v>
                </c:pt>
                <c:pt idx="33">
                  <c:v>222.14403766769601</c:v>
                </c:pt>
                <c:pt idx="34">
                  <c:v>233.69552762641621</c:v>
                </c:pt>
                <c:pt idx="35">
                  <c:v>245.84769506298986</c:v>
                </c:pt>
                <c:pt idx="36">
                  <c:v>258.63177520626533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33920"/>
        <c:axId val="184836096"/>
      </c:scatterChart>
      <c:valAx>
        <c:axId val="184833920"/>
        <c:scaling>
          <c:orientation val="minMax"/>
          <c:max val="203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836096"/>
        <c:crosses val="autoZero"/>
        <c:crossBetween val="midCat"/>
        <c:majorUnit val="5"/>
        <c:minorUnit val="1"/>
      </c:valAx>
      <c:valAx>
        <c:axId val="184836096"/>
        <c:scaling>
          <c:orientation val="minMax"/>
          <c:max val="15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833920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6851329486897838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ser>
          <c:idx val="2"/>
          <c:order val="2"/>
          <c:tx>
            <c:v>Forecast growth, 2014 prudent assumptions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Data!$A$20:$A$56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Data!$J$20:$J$56</c:f>
              <c:numCache>
                <c:formatCode>0.0</c:formatCode>
                <c:ptCount val="37"/>
                <c:pt idx="0">
                  <c:v>41.698002141928789</c:v>
                </c:pt>
                <c:pt idx="1">
                  <c:v>43.86629825330909</c:v>
                </c:pt>
                <c:pt idx="2">
                  <c:v>46.147345762481166</c:v>
                </c:pt>
                <c:pt idx="3">
                  <c:v>48.547007742130191</c:v>
                </c:pt>
                <c:pt idx="4">
                  <c:v>51.071452144720965</c:v>
                </c:pt>
                <c:pt idx="5">
                  <c:v>53.727167656246458</c:v>
                </c:pt>
                <c:pt idx="6">
                  <c:v>56.520980374371277</c:v>
                </c:pt>
                <c:pt idx="7">
                  <c:v>59.460071353838586</c:v>
                </c:pt>
                <c:pt idx="8">
                  <c:v>62.551995064238199</c:v>
                </c:pt>
                <c:pt idx="9">
                  <c:v>65.804698807578589</c:v>
                </c:pt>
                <c:pt idx="10">
                  <c:v>69.226543145572677</c:v>
                </c:pt>
                <c:pt idx="11">
                  <c:v>72.826323389142459</c:v>
                </c:pt>
                <c:pt idx="12">
                  <c:v>76.613292205377874</c:v>
                </c:pt>
                <c:pt idx="13">
                  <c:v>80.597183400057531</c:v>
                </c:pt>
                <c:pt idx="14">
                  <c:v>84.788236936860528</c:v>
                </c:pt>
                <c:pt idx="15">
                  <c:v>89.197225257577273</c:v>
                </c:pt>
                <c:pt idx="16">
                  <c:v>93.83548097097129</c:v>
                </c:pt>
                <c:pt idx="17">
                  <c:v>98.714925981461803</c:v>
                </c:pt>
                <c:pt idx="18">
                  <c:v>103.84810213249783</c:v>
                </c:pt>
                <c:pt idx="19">
                  <c:v>109.24820344338772</c:v>
                </c:pt>
                <c:pt idx="20">
                  <c:v>114.92911002244389</c:v>
                </c:pt>
                <c:pt idx="21">
                  <c:v>120.90542374361098</c:v>
                </c:pt>
                <c:pt idx="22">
                  <c:v>127.19250577827876</c:v>
                </c:pt>
                <c:pt idx="23">
                  <c:v>133.80651607874927</c:v>
                </c:pt>
                <c:pt idx="24">
                  <c:v>140.76445491484424</c:v>
                </c:pt>
                <c:pt idx="25">
                  <c:v>148.08420657041614</c:v>
                </c:pt>
                <c:pt idx="26">
                  <c:v>155.78458531207778</c:v>
                </c:pt>
                <c:pt idx="27">
                  <c:v>163.88538374830583</c:v>
                </c:pt>
                <c:pt idx="28">
                  <c:v>172.40742370321775</c:v>
                </c:pt>
                <c:pt idx="29">
                  <c:v>181.37260973578506</c:v>
                </c:pt>
                <c:pt idx="30">
                  <c:v>190.8039854420459</c:v>
                </c:pt>
                <c:pt idx="31">
                  <c:v>200.7257926850323</c:v>
                </c:pt>
                <c:pt idx="32">
                  <c:v>211.163533904654</c:v>
                </c:pt>
                <c:pt idx="33">
                  <c:v>222.14403766769601</c:v>
                </c:pt>
                <c:pt idx="34">
                  <c:v>233.69552762641621</c:v>
                </c:pt>
                <c:pt idx="35">
                  <c:v>245.84769506298986</c:v>
                </c:pt>
                <c:pt idx="36">
                  <c:v>258.63177520626533</c:v>
                </c:pt>
              </c:numCache>
            </c:numRef>
          </c:yVal>
          <c:smooth val="1"/>
        </c:ser>
        <c:ser>
          <c:idx val="3"/>
          <c:order val="3"/>
          <c:tx>
            <c:v>Forecast growth, 2017 prudent assumptions</c:v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Ref>
              <c:f>Data!$A$23:$A$56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Data!$X$23:$X$43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63744"/>
        <c:axId val="184771712"/>
      </c:scatterChart>
      <c:valAx>
        <c:axId val="184863744"/>
        <c:scaling>
          <c:orientation val="minMax"/>
          <c:max val="203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771712"/>
        <c:crosses val="autoZero"/>
        <c:crossBetween val="midCat"/>
        <c:majorUnit val="5"/>
        <c:minorUnit val="1"/>
      </c:valAx>
      <c:valAx>
        <c:axId val="184771712"/>
        <c:scaling>
          <c:orientation val="minMax"/>
          <c:max val="15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863744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8.6734114182863725E-2"/>
          <c:w val="0.21798272151529571"/>
          <c:h val="0.87390397786179808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ser>
          <c:idx val="2"/>
          <c:order val="2"/>
          <c:tx>
            <c:v>2014 prudent assumptions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Data!$A$20:$A$56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Data!$J$20:$J$56</c:f>
              <c:numCache>
                <c:formatCode>0.0</c:formatCode>
                <c:ptCount val="37"/>
                <c:pt idx="0">
                  <c:v>41.698002141928789</c:v>
                </c:pt>
                <c:pt idx="1">
                  <c:v>43.86629825330909</c:v>
                </c:pt>
                <c:pt idx="2">
                  <c:v>46.147345762481166</c:v>
                </c:pt>
                <c:pt idx="3">
                  <c:v>48.547007742130191</c:v>
                </c:pt>
                <c:pt idx="4">
                  <c:v>51.071452144720965</c:v>
                </c:pt>
                <c:pt idx="5">
                  <c:v>53.727167656246458</c:v>
                </c:pt>
                <c:pt idx="6">
                  <c:v>56.520980374371277</c:v>
                </c:pt>
                <c:pt idx="7">
                  <c:v>59.460071353838586</c:v>
                </c:pt>
                <c:pt idx="8">
                  <c:v>62.551995064238199</c:v>
                </c:pt>
                <c:pt idx="9">
                  <c:v>65.804698807578589</c:v>
                </c:pt>
                <c:pt idx="10">
                  <c:v>69.226543145572677</c:v>
                </c:pt>
                <c:pt idx="11">
                  <c:v>72.826323389142459</c:v>
                </c:pt>
                <c:pt idx="12">
                  <c:v>76.613292205377874</c:v>
                </c:pt>
                <c:pt idx="13">
                  <c:v>80.597183400057531</c:v>
                </c:pt>
                <c:pt idx="14">
                  <c:v>84.788236936860528</c:v>
                </c:pt>
                <c:pt idx="15">
                  <c:v>89.197225257577273</c:v>
                </c:pt>
                <c:pt idx="16">
                  <c:v>93.83548097097129</c:v>
                </c:pt>
                <c:pt idx="17">
                  <c:v>98.714925981461803</c:v>
                </c:pt>
                <c:pt idx="18">
                  <c:v>103.84810213249783</c:v>
                </c:pt>
                <c:pt idx="19">
                  <c:v>109.24820344338772</c:v>
                </c:pt>
                <c:pt idx="20">
                  <c:v>114.92911002244389</c:v>
                </c:pt>
                <c:pt idx="21">
                  <c:v>120.90542374361098</c:v>
                </c:pt>
                <c:pt idx="22">
                  <c:v>127.19250577827876</c:v>
                </c:pt>
                <c:pt idx="23">
                  <c:v>133.80651607874927</c:v>
                </c:pt>
                <c:pt idx="24">
                  <c:v>140.76445491484424</c:v>
                </c:pt>
                <c:pt idx="25">
                  <c:v>148.08420657041614</c:v>
                </c:pt>
                <c:pt idx="26">
                  <c:v>155.78458531207778</c:v>
                </c:pt>
                <c:pt idx="27">
                  <c:v>163.88538374830583</c:v>
                </c:pt>
                <c:pt idx="28">
                  <c:v>172.40742370321775</c:v>
                </c:pt>
                <c:pt idx="29">
                  <c:v>181.37260973578506</c:v>
                </c:pt>
                <c:pt idx="30">
                  <c:v>190.8039854420459</c:v>
                </c:pt>
                <c:pt idx="31">
                  <c:v>200.7257926850323</c:v>
                </c:pt>
                <c:pt idx="32">
                  <c:v>211.163533904654</c:v>
                </c:pt>
                <c:pt idx="33">
                  <c:v>222.14403766769601</c:v>
                </c:pt>
                <c:pt idx="34">
                  <c:v>233.69552762641621</c:v>
                </c:pt>
                <c:pt idx="35">
                  <c:v>245.84769506298986</c:v>
                </c:pt>
                <c:pt idx="36">
                  <c:v>258.63177520626533</c:v>
                </c:pt>
              </c:numCache>
            </c:numRef>
          </c:yVal>
          <c:smooth val="1"/>
        </c:ser>
        <c:ser>
          <c:idx val="4"/>
          <c:order val="3"/>
          <c:tx>
            <c:v>2017 prudent assumptions</c:v>
          </c:tx>
          <c:spPr>
            <a:ln>
              <a:solidFill>
                <a:schemeClr val="tx2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Data!$X$23:$X$43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</c:numCache>
            </c:numRef>
          </c:yVal>
          <c:smooth val="1"/>
        </c:ser>
        <c:ser>
          <c:idx val="3"/>
          <c:order val="4"/>
          <c:tx>
            <c:v>2017 prudent assumptions, September de-risking</c:v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Data!$M$23:$M$43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75.975484366655138</c:v>
                </c:pt>
                <c:pt idx="13">
                  <c:v>80.017380134961186</c:v>
                </c:pt>
                <c:pt idx="14">
                  <c:v>84.234296068073633</c:v>
                </c:pt>
                <c:pt idx="15">
                  <c:v>88.622902893220271</c:v>
                </c:pt>
                <c:pt idx="16">
                  <c:v>93.160395521353138</c:v>
                </c:pt>
                <c:pt idx="17">
                  <c:v>97.827731336972931</c:v>
                </c:pt>
                <c:pt idx="18">
                  <c:v>102.60172462621721</c:v>
                </c:pt>
                <c:pt idx="19">
                  <c:v>107.44452602857464</c:v>
                </c:pt>
                <c:pt idx="20">
                  <c:v>112.32250751027195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97056"/>
        <c:axId val="184881152"/>
      </c:scatterChart>
      <c:valAx>
        <c:axId val="184797056"/>
        <c:scaling>
          <c:orientation val="minMax"/>
          <c:max val="203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881152"/>
        <c:crosses val="autoZero"/>
        <c:crossBetween val="midCat"/>
        <c:majorUnit val="5"/>
        <c:minorUnit val="1"/>
      </c:valAx>
      <c:valAx>
        <c:axId val="184881152"/>
        <c:scaling>
          <c:orientation val="minMax"/>
          <c:max val="15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797056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10043944947410208"/>
          <c:w val="0.21798272151529571"/>
          <c:h val="0.8673904748690555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ser>
          <c:idx val="2"/>
          <c:order val="2"/>
          <c:tx>
            <c:v>2014 prudent assumptions</c:v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xVal>
            <c:numRef>
              <c:f>Data!$A$20:$A$56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Data!$J$20:$J$56</c:f>
              <c:numCache>
                <c:formatCode>0.0</c:formatCode>
                <c:ptCount val="37"/>
                <c:pt idx="0">
                  <c:v>41.698002141928789</c:v>
                </c:pt>
                <c:pt idx="1">
                  <c:v>43.86629825330909</c:v>
                </c:pt>
                <c:pt idx="2">
                  <c:v>46.147345762481166</c:v>
                </c:pt>
                <c:pt idx="3">
                  <c:v>48.547007742130191</c:v>
                </c:pt>
                <c:pt idx="4">
                  <c:v>51.071452144720965</c:v>
                </c:pt>
                <c:pt idx="5">
                  <c:v>53.727167656246458</c:v>
                </c:pt>
                <c:pt idx="6">
                  <c:v>56.520980374371277</c:v>
                </c:pt>
                <c:pt idx="7">
                  <c:v>59.460071353838586</c:v>
                </c:pt>
                <c:pt idx="8">
                  <c:v>62.551995064238199</c:v>
                </c:pt>
                <c:pt idx="9">
                  <c:v>65.804698807578589</c:v>
                </c:pt>
                <c:pt idx="10">
                  <c:v>69.226543145572677</c:v>
                </c:pt>
                <c:pt idx="11">
                  <c:v>72.826323389142459</c:v>
                </c:pt>
                <c:pt idx="12">
                  <c:v>76.613292205377874</c:v>
                </c:pt>
                <c:pt idx="13">
                  <c:v>80.597183400057531</c:v>
                </c:pt>
                <c:pt idx="14">
                  <c:v>84.788236936860528</c:v>
                </c:pt>
                <c:pt idx="15">
                  <c:v>89.197225257577273</c:v>
                </c:pt>
                <c:pt idx="16">
                  <c:v>93.83548097097129</c:v>
                </c:pt>
                <c:pt idx="17">
                  <c:v>98.714925981461803</c:v>
                </c:pt>
                <c:pt idx="18">
                  <c:v>103.84810213249783</c:v>
                </c:pt>
                <c:pt idx="19">
                  <c:v>109.24820344338772</c:v>
                </c:pt>
                <c:pt idx="20">
                  <c:v>114.92911002244389</c:v>
                </c:pt>
                <c:pt idx="21">
                  <c:v>120.90542374361098</c:v>
                </c:pt>
                <c:pt idx="22">
                  <c:v>127.19250577827876</c:v>
                </c:pt>
                <c:pt idx="23">
                  <c:v>133.80651607874927</c:v>
                </c:pt>
                <c:pt idx="24">
                  <c:v>140.76445491484424</c:v>
                </c:pt>
                <c:pt idx="25">
                  <c:v>148.08420657041614</c:v>
                </c:pt>
                <c:pt idx="26">
                  <c:v>155.78458531207778</c:v>
                </c:pt>
                <c:pt idx="27">
                  <c:v>163.88538374830583</c:v>
                </c:pt>
                <c:pt idx="28">
                  <c:v>172.40742370321775</c:v>
                </c:pt>
                <c:pt idx="29">
                  <c:v>181.37260973578506</c:v>
                </c:pt>
                <c:pt idx="30">
                  <c:v>190.8039854420459</c:v>
                </c:pt>
                <c:pt idx="31">
                  <c:v>200.7257926850323</c:v>
                </c:pt>
                <c:pt idx="32">
                  <c:v>211.163533904654</c:v>
                </c:pt>
                <c:pt idx="33">
                  <c:v>222.14403766769601</c:v>
                </c:pt>
                <c:pt idx="34">
                  <c:v>233.69552762641621</c:v>
                </c:pt>
                <c:pt idx="35">
                  <c:v>245.84769506298986</c:v>
                </c:pt>
                <c:pt idx="36">
                  <c:v>258.63177520626533</c:v>
                </c:pt>
              </c:numCache>
            </c:numRef>
          </c:yVal>
          <c:smooth val="1"/>
        </c:ser>
        <c:ser>
          <c:idx val="4"/>
          <c:order val="3"/>
          <c:tx>
            <c:v>2017 prudent assumptions</c:v>
          </c:tx>
          <c:spPr>
            <a:ln>
              <a:solidFill>
                <a:schemeClr val="tx2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Data!$X$23:$X$43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</c:numCache>
            </c:numRef>
          </c:yVal>
          <c:smooth val="1"/>
        </c:ser>
        <c:ser>
          <c:idx val="5"/>
          <c:order val="4"/>
          <c:tx>
            <c:v>2017 prudent assumptions, September de-risking</c:v>
          </c:tx>
          <c:spPr>
            <a:ln>
              <a:solidFill>
                <a:schemeClr val="tx2">
                  <a:alpha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Data!$M$23:$M$43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75.975484366655138</c:v>
                </c:pt>
                <c:pt idx="13">
                  <c:v>80.017380134961186</c:v>
                </c:pt>
                <c:pt idx="14">
                  <c:v>84.234296068073633</c:v>
                </c:pt>
                <c:pt idx="15">
                  <c:v>88.622902893220271</c:v>
                </c:pt>
                <c:pt idx="16">
                  <c:v>93.160395521353138</c:v>
                </c:pt>
                <c:pt idx="17">
                  <c:v>97.827731336972931</c:v>
                </c:pt>
                <c:pt idx="18">
                  <c:v>102.60172462621721</c:v>
                </c:pt>
                <c:pt idx="19">
                  <c:v>107.44452602857464</c:v>
                </c:pt>
                <c:pt idx="20">
                  <c:v>112.32250751027195</c:v>
                </c:pt>
              </c:numCache>
            </c:numRef>
          </c:yVal>
          <c:smooth val="1"/>
        </c:ser>
        <c:ser>
          <c:idx val="3"/>
          <c:order val="5"/>
          <c:tx>
            <c:v>2017 prudent assumptions, November de-risking</c:v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Data!$R$23:$R$43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61.599024000000007</c:v>
                </c:pt>
                <c:pt idx="3">
                  <c:v>61.94028259296001</c:v>
                </c:pt>
                <c:pt idx="4">
                  <c:v>62.321834733732643</c:v>
                </c:pt>
                <c:pt idx="5">
                  <c:v>62.750608956700724</c:v>
                </c:pt>
                <c:pt idx="6">
                  <c:v>63.24633876745866</c:v>
                </c:pt>
                <c:pt idx="7">
                  <c:v>63.804171475387648</c:v>
                </c:pt>
                <c:pt idx="8">
                  <c:v>64.432004522705469</c:v>
                </c:pt>
                <c:pt idx="9">
                  <c:v>65.112406490465233</c:v>
                </c:pt>
                <c:pt idx="10">
                  <c:v>65.833851954379583</c:v>
                </c:pt>
                <c:pt idx="11">
                  <c:v>69.197961789248367</c:v>
                </c:pt>
                <c:pt idx="12">
                  <c:v>72.743665351329454</c:v>
                </c:pt>
                <c:pt idx="13">
                  <c:v>76.473960510545623</c:v>
                </c:pt>
                <c:pt idx="14">
                  <c:v>80.375661975793662</c:v>
                </c:pt>
                <c:pt idx="15">
                  <c:v>84.447493011487367</c:v>
                </c:pt>
                <c:pt idx="16">
                  <c:v>88.669867662061733</c:v>
                </c:pt>
                <c:pt idx="17">
                  <c:v>93.027104958975443</c:v>
                </c:pt>
                <c:pt idx="18">
                  <c:v>97.499848165402966</c:v>
                </c:pt>
                <c:pt idx="19">
                  <c:v>102.0550410716906</c:v>
                </c:pt>
                <c:pt idx="20">
                  <c:v>106.66384672648815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19168"/>
        <c:axId val="184921088"/>
      </c:scatterChart>
      <c:valAx>
        <c:axId val="184919168"/>
        <c:scaling>
          <c:orientation val="minMax"/>
          <c:max val="203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921088"/>
        <c:crosses val="autoZero"/>
        <c:crossBetween val="midCat"/>
        <c:majorUnit val="5"/>
        <c:minorUnit val="1"/>
      </c:valAx>
      <c:valAx>
        <c:axId val="184921088"/>
        <c:scaling>
          <c:orientation val="minMax"/>
          <c:max val="15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919168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3.1912773017910206E-2"/>
          <c:w val="0.21798284668179846"/>
          <c:h val="0.9525661274719514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2017-2037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4"/>
          <c:order val="0"/>
          <c:tx>
            <c:v>2017 prudent assumptions</c:v>
          </c:tx>
          <c:spPr>
            <a:ln>
              <a:solidFill>
                <a:schemeClr val="tx2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Data!$X$23:$X$43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</c:numCache>
            </c:numRef>
          </c:yVal>
          <c:smooth val="1"/>
        </c:ser>
        <c:ser>
          <c:idx val="0"/>
          <c:order val="1"/>
          <c:tx>
            <c:v>2017 prudent assumptions, September de-risking</c:v>
          </c:tx>
          <c:spPr>
            <a:ln>
              <a:solidFill>
                <a:schemeClr val="tx2">
                  <a:alpha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Data!$M$23:$M$43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75.975484366655138</c:v>
                </c:pt>
                <c:pt idx="13">
                  <c:v>80.017380134961186</c:v>
                </c:pt>
                <c:pt idx="14">
                  <c:v>84.234296068073633</c:v>
                </c:pt>
                <c:pt idx="15">
                  <c:v>88.622902893220271</c:v>
                </c:pt>
                <c:pt idx="16">
                  <c:v>93.160395521353138</c:v>
                </c:pt>
                <c:pt idx="17">
                  <c:v>97.827731336972931</c:v>
                </c:pt>
                <c:pt idx="18">
                  <c:v>102.60172462621721</c:v>
                </c:pt>
                <c:pt idx="19">
                  <c:v>107.44452602857464</c:v>
                </c:pt>
                <c:pt idx="20">
                  <c:v>112.32250751027195</c:v>
                </c:pt>
              </c:numCache>
            </c:numRef>
          </c:yVal>
          <c:smooth val="1"/>
        </c:ser>
        <c:ser>
          <c:idx val="3"/>
          <c:order val="2"/>
          <c:tx>
            <c:v>2017 prudent assumptions, November de-risking</c:v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Data!$R$23:$R$43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61.599024000000007</c:v>
                </c:pt>
                <c:pt idx="3">
                  <c:v>61.94028259296001</c:v>
                </c:pt>
                <c:pt idx="4">
                  <c:v>62.321834733732643</c:v>
                </c:pt>
                <c:pt idx="5">
                  <c:v>62.750608956700724</c:v>
                </c:pt>
                <c:pt idx="6">
                  <c:v>63.24633876745866</c:v>
                </c:pt>
                <c:pt idx="7">
                  <c:v>63.804171475387648</c:v>
                </c:pt>
                <c:pt idx="8">
                  <c:v>64.432004522705469</c:v>
                </c:pt>
                <c:pt idx="9">
                  <c:v>65.112406490465233</c:v>
                </c:pt>
                <c:pt idx="10">
                  <c:v>65.833851954379583</c:v>
                </c:pt>
                <c:pt idx="11">
                  <c:v>69.197961789248367</c:v>
                </c:pt>
                <c:pt idx="12">
                  <c:v>72.743665351329454</c:v>
                </c:pt>
                <c:pt idx="13">
                  <c:v>76.473960510545623</c:v>
                </c:pt>
                <c:pt idx="14">
                  <c:v>80.375661975793662</c:v>
                </c:pt>
                <c:pt idx="15">
                  <c:v>84.447493011487367</c:v>
                </c:pt>
                <c:pt idx="16">
                  <c:v>88.669867662061733</c:v>
                </c:pt>
                <c:pt idx="17">
                  <c:v>93.027104958975443</c:v>
                </c:pt>
                <c:pt idx="18">
                  <c:v>97.499848165402966</c:v>
                </c:pt>
                <c:pt idx="19">
                  <c:v>102.0550410716906</c:v>
                </c:pt>
                <c:pt idx="20">
                  <c:v>106.66384672648815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68320"/>
        <c:axId val="184970240"/>
      </c:scatterChart>
      <c:valAx>
        <c:axId val="184968320"/>
        <c:scaling>
          <c:orientation val="minMax"/>
          <c:max val="2037"/>
          <c:min val="2017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970240"/>
        <c:crosses val="autoZero"/>
        <c:crossBetween val="midCat"/>
        <c:majorUnit val="5"/>
        <c:minorUnit val="1"/>
      </c:valAx>
      <c:valAx>
        <c:axId val="184970240"/>
        <c:scaling>
          <c:orientation val="minMax"/>
          <c:max val="125"/>
          <c:min val="5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968320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15331820154"/>
          <c:y val="0.17288193601350493"/>
          <c:w val="0.21798284668179846"/>
          <c:h val="0.673542459174982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2017-2037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4"/>
          <c:order val="0"/>
          <c:tx>
            <c:v>2017 prudent assumptions</c:v>
          </c:tx>
          <c:spPr>
            <a:ln>
              <a:solidFill>
                <a:schemeClr val="tx2">
                  <a:alpha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0.1239899376145117"/>
                  <c:y val="-2.9368575624082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£117.7bn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Data!$X$23:$X$43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</c:numCache>
            </c:numRef>
          </c:yVal>
          <c:smooth val="1"/>
        </c:ser>
        <c:ser>
          <c:idx val="0"/>
          <c:order val="1"/>
          <c:tx>
            <c:v>2017 prudent assumptions, September de-risking</c:v>
          </c:tx>
          <c:spPr>
            <a:ln>
              <a:solidFill>
                <a:schemeClr val="tx2">
                  <a:alpha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0"/>
                  <c:y val="-9.78952520802740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£112.3bn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Data!$M$23:$M$43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75.975484366655138</c:v>
                </c:pt>
                <c:pt idx="13">
                  <c:v>80.017380134961186</c:v>
                </c:pt>
                <c:pt idx="14">
                  <c:v>84.234296068073633</c:v>
                </c:pt>
                <c:pt idx="15">
                  <c:v>88.622902893220271</c:v>
                </c:pt>
                <c:pt idx="16">
                  <c:v>93.160395521353138</c:v>
                </c:pt>
                <c:pt idx="17">
                  <c:v>97.827731336972931</c:v>
                </c:pt>
                <c:pt idx="18">
                  <c:v>102.60172462621721</c:v>
                </c:pt>
                <c:pt idx="19">
                  <c:v>107.44452602857464</c:v>
                </c:pt>
                <c:pt idx="20">
                  <c:v>112.32250751027195</c:v>
                </c:pt>
              </c:numCache>
            </c:numRef>
          </c:yVal>
          <c:smooth val="1"/>
        </c:ser>
        <c:ser>
          <c:idx val="3"/>
          <c:order val="2"/>
          <c:tx>
            <c:v>2017 prudent assumptions, November de-risking</c:v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pPr>
                      <a:defRPr sz="1800"/>
                    </a:pPr>
                    <a:r>
                      <a:rPr lang="en-US" sz="1800"/>
                      <a:t>£106.7bn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Data!$R$23:$R$43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61.599024000000007</c:v>
                </c:pt>
                <c:pt idx="3">
                  <c:v>61.94028259296001</c:v>
                </c:pt>
                <c:pt idx="4">
                  <c:v>62.321834733732643</c:v>
                </c:pt>
                <c:pt idx="5">
                  <c:v>62.750608956700724</c:v>
                </c:pt>
                <c:pt idx="6">
                  <c:v>63.24633876745866</c:v>
                </c:pt>
                <c:pt idx="7">
                  <c:v>63.804171475387648</c:v>
                </c:pt>
                <c:pt idx="8">
                  <c:v>64.432004522705469</c:v>
                </c:pt>
                <c:pt idx="9">
                  <c:v>65.112406490465233</c:v>
                </c:pt>
                <c:pt idx="10">
                  <c:v>65.833851954379583</c:v>
                </c:pt>
                <c:pt idx="11">
                  <c:v>69.197961789248367</c:v>
                </c:pt>
                <c:pt idx="12">
                  <c:v>72.743665351329454</c:v>
                </c:pt>
                <c:pt idx="13">
                  <c:v>76.473960510545623</c:v>
                </c:pt>
                <c:pt idx="14">
                  <c:v>80.375661975793662</c:v>
                </c:pt>
                <c:pt idx="15">
                  <c:v>84.447493011487367</c:v>
                </c:pt>
                <c:pt idx="16">
                  <c:v>88.669867662061733</c:v>
                </c:pt>
                <c:pt idx="17">
                  <c:v>93.027104958975443</c:v>
                </c:pt>
                <c:pt idx="18">
                  <c:v>97.499848165402966</c:v>
                </c:pt>
                <c:pt idx="19">
                  <c:v>102.0550410716906</c:v>
                </c:pt>
                <c:pt idx="20">
                  <c:v>106.66384672648815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28864"/>
        <c:axId val="184247424"/>
      </c:scatterChart>
      <c:valAx>
        <c:axId val="184228864"/>
        <c:scaling>
          <c:orientation val="minMax"/>
          <c:max val="2037"/>
          <c:min val="2017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247424"/>
        <c:crosses val="autoZero"/>
        <c:crossBetween val="midCat"/>
        <c:majorUnit val="5"/>
        <c:minorUnit val="1"/>
      </c:valAx>
      <c:valAx>
        <c:axId val="184247424"/>
        <c:scaling>
          <c:orientation val="minMax"/>
          <c:max val="125"/>
          <c:min val="5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228864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15331820154"/>
          <c:y val="0.17679774609671589"/>
          <c:w val="0.21798284668179846"/>
          <c:h val="0.673542459174982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2017-2037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4"/>
          <c:order val="0"/>
          <c:tx>
            <c:v>2017 prudent assumptions</c:v>
          </c:tx>
          <c:spPr>
            <a:ln>
              <a:solidFill>
                <a:schemeClr val="tx2">
                  <a:alpha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0.1239899376145117"/>
                  <c:y val="-2.9368575624082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£117.7bn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Data!$X$23:$X$43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</c:numCache>
            </c:numRef>
          </c:yVal>
          <c:smooth val="1"/>
        </c:ser>
        <c:ser>
          <c:idx val="0"/>
          <c:order val="1"/>
          <c:tx>
            <c:v>2017 prudent assumptions, September de-risking</c:v>
          </c:tx>
          <c:spPr>
            <a:ln>
              <a:solidFill>
                <a:schemeClr val="tx2">
                  <a:alpha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0"/>
                  <c:y val="-9.78952520802740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£112.3bn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Data!$M$23:$M$43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75.975484366655138</c:v>
                </c:pt>
                <c:pt idx="13">
                  <c:v>80.017380134961186</c:v>
                </c:pt>
                <c:pt idx="14">
                  <c:v>84.234296068073633</c:v>
                </c:pt>
                <c:pt idx="15">
                  <c:v>88.622902893220271</c:v>
                </c:pt>
                <c:pt idx="16">
                  <c:v>93.160395521353138</c:v>
                </c:pt>
                <c:pt idx="17">
                  <c:v>97.827731336972931</c:v>
                </c:pt>
                <c:pt idx="18">
                  <c:v>102.60172462621721</c:v>
                </c:pt>
                <c:pt idx="19">
                  <c:v>107.44452602857464</c:v>
                </c:pt>
                <c:pt idx="20">
                  <c:v>112.32250751027195</c:v>
                </c:pt>
              </c:numCache>
            </c:numRef>
          </c:yVal>
          <c:smooth val="1"/>
        </c:ser>
        <c:ser>
          <c:idx val="3"/>
          <c:order val="2"/>
          <c:tx>
            <c:v>2017 prudent assumptions, November de-risking</c:v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1.5896145848014322E-3"/>
                  <c:y val="-3.91581008321096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£106.7bn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Data!$R$23:$R$43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61.599024000000007</c:v>
                </c:pt>
                <c:pt idx="3">
                  <c:v>61.94028259296001</c:v>
                </c:pt>
                <c:pt idx="4">
                  <c:v>62.321834733732643</c:v>
                </c:pt>
                <c:pt idx="5">
                  <c:v>62.750608956700724</c:v>
                </c:pt>
                <c:pt idx="6">
                  <c:v>63.24633876745866</c:v>
                </c:pt>
                <c:pt idx="7">
                  <c:v>63.804171475387648</c:v>
                </c:pt>
                <c:pt idx="8">
                  <c:v>64.432004522705469</c:v>
                </c:pt>
                <c:pt idx="9">
                  <c:v>65.112406490465233</c:v>
                </c:pt>
                <c:pt idx="10">
                  <c:v>65.833851954379583</c:v>
                </c:pt>
                <c:pt idx="11">
                  <c:v>69.197961789248367</c:v>
                </c:pt>
                <c:pt idx="12">
                  <c:v>72.743665351329454</c:v>
                </c:pt>
                <c:pt idx="13">
                  <c:v>76.473960510545623</c:v>
                </c:pt>
                <c:pt idx="14">
                  <c:v>80.375661975793662</c:v>
                </c:pt>
                <c:pt idx="15">
                  <c:v>84.447493011487367</c:v>
                </c:pt>
                <c:pt idx="16">
                  <c:v>88.669867662061733</c:v>
                </c:pt>
                <c:pt idx="17">
                  <c:v>93.027104958975443</c:v>
                </c:pt>
                <c:pt idx="18">
                  <c:v>97.499848165402966</c:v>
                </c:pt>
                <c:pt idx="19">
                  <c:v>102.0550410716906</c:v>
                </c:pt>
                <c:pt idx="20">
                  <c:v>106.66384672648815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96576"/>
        <c:axId val="184298496"/>
      </c:scatterChart>
      <c:valAx>
        <c:axId val="184296576"/>
        <c:scaling>
          <c:orientation val="minMax"/>
          <c:max val="2037"/>
          <c:min val="2017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298496"/>
        <c:crosses val="autoZero"/>
        <c:crossBetween val="midCat"/>
        <c:majorUnit val="5"/>
        <c:minorUnit val="1"/>
      </c:valAx>
      <c:valAx>
        <c:axId val="184298496"/>
        <c:scaling>
          <c:orientation val="minMax"/>
          <c:max val="125"/>
          <c:min val="5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296576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15331820154"/>
          <c:y val="0.17679774609671589"/>
          <c:w val="0.21798284668179846"/>
          <c:h val="0.673542459174982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USS's de-risking is</a:t>
            </a:r>
            <a:r>
              <a:rPr lang="en-US" sz="2800" baseline="0"/>
              <a:t> expected to cost employers £7.1bn in real terms over the next 20 years, and £22.4bn by 2050</a:t>
            </a:r>
            <a:endParaRPr lang="en-US" sz="2800"/>
          </a:p>
        </c:rich>
      </c:tx>
      <c:layout>
        <c:manualLayout>
          <c:xMode val="edge"/>
          <c:yMode val="edge"/>
          <c:x val="0.1427009859061735"/>
          <c:y val="5.38535982858670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barChart>
        <c:barDir val="col"/>
        <c:grouping val="stacked"/>
        <c:varyColors val="0"/>
        <c:ser>
          <c:idx val="0"/>
          <c:order val="0"/>
          <c:tx>
            <c:v>Projected assets (with de-risking, adjusted for CPI)</c:v>
          </c:tx>
          <c:spPr>
            <a:solidFill>
              <a:srgbClr val="0070C0"/>
            </a:solidFill>
          </c:spPr>
          <c:invertIfNegative val="0"/>
          <c:cat>
            <c:numRef>
              <c:f>Data!$A$23:$A$56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Data!$S$23:$S$56</c:f>
              <c:numCache>
                <c:formatCode>0.0</c:formatCode>
                <c:ptCount val="34"/>
                <c:pt idx="0">
                  <c:v>60</c:v>
                </c:pt>
                <c:pt idx="1">
                  <c:v>59.689846874085632</c:v>
                </c:pt>
                <c:pt idx="2">
                  <c:v>59.325589686683799</c:v>
                </c:pt>
                <c:pt idx="3">
                  <c:v>58.91196272323527</c:v>
                </c:pt>
                <c:pt idx="4">
                  <c:v>58.450705466532291</c:v>
                </c:pt>
                <c:pt idx="5">
                  <c:v>57.943139037257104</c:v>
                </c:pt>
                <c:pt idx="6">
                  <c:v>57.390811552330412</c:v>
                </c:pt>
                <c:pt idx="7">
                  <c:v>56.795172170121603</c:v>
                </c:pt>
                <c:pt idx="8">
                  <c:v>56.157873949158528</c:v>
                </c:pt>
                <c:pt idx="9">
                  <c:v>55.480399939448276</c:v>
                </c:pt>
                <c:pt idx="10">
                  <c:v>54.76434908794041</c:v>
                </c:pt>
                <c:pt idx="11">
                  <c:v>56.131455218268307</c:v>
                </c:pt>
                <c:pt idx="12">
                  <c:v>57.484297110231246</c:v>
                </c:pt>
                <c:pt idx="13">
                  <c:v>58.820412561849231</c:v>
                </c:pt>
                <c:pt idx="14">
                  <c:v>60.137577831473521</c:v>
                </c:pt>
                <c:pt idx="15">
                  <c:v>61.433298516690293</c:v>
                </c:pt>
                <c:pt idx="16">
                  <c:v>62.705320737362506</c:v>
                </c:pt>
                <c:pt idx="17">
                  <c:v>63.951259063280354</c:v>
                </c:pt>
                <c:pt idx="18">
                  <c:v>65.168726882880762</c:v>
                </c:pt>
                <c:pt idx="19">
                  <c:v>66.355457006662405</c:v>
                </c:pt>
                <c:pt idx="20">
                  <c:v>67.509071785343394</c:v>
                </c:pt>
                <c:pt idx="21">
                  <c:v>68.627207229956454</c:v>
                </c:pt>
                <c:pt idx="22">
                  <c:v>69.76519252346921</c:v>
                </c:pt>
                <c:pt idx="23">
                  <c:v>70.923516845081636</c:v>
                </c:pt>
                <c:pt idx="24">
                  <c:v>72.10280067368727</c:v>
                </c:pt>
                <c:pt idx="25">
                  <c:v>73.303572236630728</c:v>
                </c:pt>
                <c:pt idx="26">
                  <c:v>74.526377386294882</c:v>
                </c:pt>
                <c:pt idx="27">
                  <c:v>75.771413172032894</c:v>
                </c:pt>
                <c:pt idx="28">
                  <c:v>77.039117161723425</c:v>
                </c:pt>
                <c:pt idx="29">
                  <c:v>78.32980898368983</c:v>
                </c:pt>
                <c:pt idx="30">
                  <c:v>79.643678497969759</c:v>
                </c:pt>
                <c:pt idx="31">
                  <c:v>80.980773633724752</c:v>
                </c:pt>
                <c:pt idx="32">
                  <c:v>82.341122597927622</c:v>
                </c:pt>
                <c:pt idx="33">
                  <c:v>83.72487020979473</c:v>
                </c:pt>
              </c:numCache>
            </c:numRef>
          </c:val>
        </c:ser>
        <c:ser>
          <c:idx val="1"/>
          <c:order val="1"/>
          <c:tx>
            <c:v>Projected assets (without de-risking, adjusted for CPI)</c:v>
          </c:tx>
          <c:spPr>
            <a:solidFill>
              <a:schemeClr val="accent2"/>
            </a:solidFill>
          </c:spPr>
          <c:invertIfNegative val="0"/>
          <c:cat>
            <c:numRef>
              <c:f>Data!$A$23:$A$56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Data!$AF$23:$AF$56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5.1868337364667241E-2</c:v>
                </c:pt>
                <c:pt idx="3">
                  <c:v>0.15471065976298495</c:v>
                </c:pt>
                <c:pt idx="4">
                  <c:v>0.30726722725395589</c:v>
                </c:pt>
                <c:pt idx="5">
                  <c:v>0.50823007744372373</c:v>
                </c:pt>
                <c:pt idx="6">
                  <c:v>0.75612334823134553</c:v>
                </c:pt>
                <c:pt idx="7">
                  <c:v>1.0494488644670454</c:v>
                </c:pt>
                <c:pt idx="8">
                  <c:v>1.3865644833706687</c:v>
                </c:pt>
                <c:pt idx="9">
                  <c:v>1.765880780995285</c:v>
                </c:pt>
                <c:pt idx="10">
                  <c:v>2.1857241856434846</c:v>
                </c:pt>
                <c:pt idx="11">
                  <c:v>2.3735688614202641</c:v>
                </c:pt>
                <c:pt idx="12">
                  <c:v>2.6165776019281246</c:v>
                </c:pt>
                <c:pt idx="13">
                  <c:v>2.9184069546127009</c:v>
                </c:pt>
                <c:pt idx="14">
                  <c:v>3.2828437729854301</c:v>
                </c:pt>
                <c:pt idx="15">
                  <c:v>3.7136877984393952</c:v>
                </c:pt>
                <c:pt idx="16">
                  <c:v>4.2148896633350219</c:v>
                </c:pt>
                <c:pt idx="17">
                  <c:v>4.7904404899587627</c:v>
                </c:pt>
                <c:pt idx="18">
                  <c:v>5.4444044520702608</c:v>
                </c:pt>
                <c:pt idx="19">
                  <c:v>6.1809891895518785</c:v>
                </c:pt>
                <c:pt idx="20">
                  <c:v>7.0044215183311991</c:v>
                </c:pt>
                <c:pt idx="21">
                  <c:v>7.91900023243101</c:v>
                </c:pt>
                <c:pt idx="22">
                  <c:v>8.8716253651247055</c:v>
                </c:pt>
                <c:pt idx="23">
                  <c:v>9.8637365361195872</c:v>
                </c:pt>
                <c:pt idx="24">
                  <c:v>10.896936172570333</c:v>
                </c:pt>
                <c:pt idx="25">
                  <c:v>11.972803159485041</c:v>
                </c:pt>
                <c:pt idx="26">
                  <c:v>13.092985460602208</c:v>
                </c:pt>
                <c:pt idx="27">
                  <c:v>14.258859816091716</c:v>
                </c:pt>
                <c:pt idx="28">
                  <c:v>15.472060898409341</c:v>
                </c:pt>
                <c:pt idx="29">
                  <c:v>16.734156092983518</c:v>
                </c:pt>
                <c:pt idx="30">
                  <c:v>18.046622071695051</c:v>
                </c:pt>
                <c:pt idx="31">
                  <c:v>19.410819070989056</c:v>
                </c:pt>
                <c:pt idx="32">
                  <c:v>20.82810310652134</c:v>
                </c:pt>
                <c:pt idx="33">
                  <c:v>22.299968701183083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837440"/>
        <c:axId val="183839360"/>
      </c:barChart>
      <c:catAx>
        <c:axId val="1838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839360"/>
        <c:crosses val="autoZero"/>
        <c:auto val="1"/>
        <c:lblAlgn val="ctr"/>
        <c:lblOffset val="100"/>
        <c:tickLblSkip val="10"/>
        <c:noMultiLvlLbl val="0"/>
      </c:catAx>
      <c:valAx>
        <c:axId val="183839360"/>
        <c:scaling>
          <c:orientation val="minMax"/>
          <c:max val="12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837440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5831049454542715"/>
          <c:w val="0.21798275215598051"/>
          <c:h val="0.5649709855134680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2017-2037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4"/>
          <c:order val="0"/>
          <c:tx>
            <c:v>2017 prudent assumptions</c:v>
          </c:tx>
          <c:spPr>
            <a:ln>
              <a:solidFill>
                <a:schemeClr val="tx2">
                  <a:alpha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0.1239899376145117"/>
                  <c:y val="-2.9368575624082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£117.7bn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Data!$X$23:$X$43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76.054820832198445</c:v>
                </c:pt>
                <c:pt idx="13">
                  <c:v>80.268257906302225</c:v>
                </c:pt>
                <c:pt idx="14">
                  <c:v>84.763280349055151</c:v>
                </c:pt>
                <c:pt idx="15">
                  <c:v>89.552405688776773</c:v>
                </c:pt>
                <c:pt idx="16">
                  <c:v>94.630027091330419</c:v>
                </c:pt>
                <c:pt idx="17">
                  <c:v>99.995549627408849</c:v>
                </c:pt>
                <c:pt idx="18">
                  <c:v>105.64529818135745</c:v>
                </c:pt>
                <c:pt idx="19">
                  <c:v>111.56143487951347</c:v>
                </c:pt>
                <c:pt idx="20">
                  <c:v>117.73078222835055</c:v>
                </c:pt>
              </c:numCache>
            </c:numRef>
          </c:yVal>
          <c:smooth val="1"/>
        </c:ser>
        <c:ser>
          <c:idx val="0"/>
          <c:order val="1"/>
          <c:tx>
            <c:v>2017 prudent assumptions, September de-risking</c:v>
          </c:tx>
          <c:spPr>
            <a:ln>
              <a:solidFill>
                <a:schemeClr val="tx2">
                  <a:alpha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0"/>
                  <c:y val="-9.78952520802740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£112.3bn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Data!$M$23:$M$43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61.65288000000001</c:v>
                </c:pt>
                <c:pt idx="3">
                  <c:v>62.102946024000019</c:v>
                </c:pt>
                <c:pt idx="4">
                  <c:v>62.649451949011215</c:v>
                </c:pt>
                <c:pt idx="5">
                  <c:v>63.301006249280931</c:v>
                </c:pt>
                <c:pt idx="6">
                  <c:v>64.079608626147092</c:v>
                </c:pt>
                <c:pt idx="7">
                  <c:v>64.983131107775762</c:v>
                </c:pt>
                <c:pt idx="8">
                  <c:v>66.022861205500178</c:v>
                </c:pt>
                <c:pt idx="9">
                  <c:v>67.184863562716984</c:v>
                </c:pt>
                <c:pt idx="10">
                  <c:v>68.461375970408596</c:v>
                </c:pt>
                <c:pt idx="11">
                  <c:v>72.12405958482546</c:v>
                </c:pt>
                <c:pt idx="12">
                  <c:v>75.975484366655138</c:v>
                </c:pt>
                <c:pt idx="13">
                  <c:v>80.017380134961186</c:v>
                </c:pt>
                <c:pt idx="14">
                  <c:v>84.234296068073633</c:v>
                </c:pt>
                <c:pt idx="15">
                  <c:v>88.622902893220271</c:v>
                </c:pt>
                <c:pt idx="16">
                  <c:v>93.160395521353138</c:v>
                </c:pt>
                <c:pt idx="17">
                  <c:v>97.827731336972931</c:v>
                </c:pt>
                <c:pt idx="18">
                  <c:v>102.60172462621721</c:v>
                </c:pt>
                <c:pt idx="19">
                  <c:v>107.44452602857464</c:v>
                </c:pt>
                <c:pt idx="20">
                  <c:v>112.32250751027195</c:v>
                </c:pt>
              </c:numCache>
            </c:numRef>
          </c:yVal>
          <c:smooth val="1"/>
        </c:ser>
        <c:ser>
          <c:idx val="3"/>
          <c:order val="2"/>
          <c:tx>
            <c:v>2017 prudent assumptions, November de-risking</c:v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1.5896145848014322E-3"/>
                  <c:y val="-3.91581008321096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£106.7bn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xVal>
          <c:yVal>
            <c:numRef>
              <c:f>Data!$R$23:$R$43</c:f>
              <c:numCache>
                <c:formatCode>0.0</c:formatCode>
                <c:ptCount val="21"/>
                <c:pt idx="0">
                  <c:v>60</c:v>
                </c:pt>
                <c:pt idx="1">
                  <c:v>61.2</c:v>
                </c:pt>
                <c:pt idx="2">
                  <c:v>61.599024000000007</c:v>
                </c:pt>
                <c:pt idx="3">
                  <c:v>61.94028259296001</c:v>
                </c:pt>
                <c:pt idx="4">
                  <c:v>62.321834733732643</c:v>
                </c:pt>
                <c:pt idx="5">
                  <c:v>62.750608956700724</c:v>
                </c:pt>
                <c:pt idx="6">
                  <c:v>63.24633876745866</c:v>
                </c:pt>
                <c:pt idx="7">
                  <c:v>63.804171475387648</c:v>
                </c:pt>
                <c:pt idx="8">
                  <c:v>64.432004522705469</c:v>
                </c:pt>
                <c:pt idx="9">
                  <c:v>65.112406490465233</c:v>
                </c:pt>
                <c:pt idx="10">
                  <c:v>65.833851954379583</c:v>
                </c:pt>
                <c:pt idx="11">
                  <c:v>69.197961789248367</c:v>
                </c:pt>
                <c:pt idx="12">
                  <c:v>72.743665351329454</c:v>
                </c:pt>
                <c:pt idx="13">
                  <c:v>76.473960510545623</c:v>
                </c:pt>
                <c:pt idx="14">
                  <c:v>80.375661975793662</c:v>
                </c:pt>
                <c:pt idx="15">
                  <c:v>84.447493011487367</c:v>
                </c:pt>
                <c:pt idx="16">
                  <c:v>88.669867662061733</c:v>
                </c:pt>
                <c:pt idx="17">
                  <c:v>93.027104958975443</c:v>
                </c:pt>
                <c:pt idx="18">
                  <c:v>97.499848165402966</c:v>
                </c:pt>
                <c:pt idx="19">
                  <c:v>102.0550410716906</c:v>
                </c:pt>
                <c:pt idx="20">
                  <c:v>106.66384672648815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77440"/>
        <c:axId val="185296000"/>
      </c:scatterChart>
      <c:valAx>
        <c:axId val="185277440"/>
        <c:scaling>
          <c:orientation val="minMax"/>
          <c:max val="2037"/>
          <c:min val="2017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296000"/>
        <c:crosses val="autoZero"/>
        <c:crossBetween val="midCat"/>
        <c:majorUnit val="5"/>
        <c:minorUnit val="1"/>
      </c:valAx>
      <c:valAx>
        <c:axId val="185296000"/>
        <c:scaling>
          <c:orientation val="minMax"/>
          <c:max val="125"/>
          <c:min val="5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277440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15331820154"/>
          <c:y val="0.17679774609671589"/>
          <c:w val="0.21798284668179846"/>
          <c:h val="0.67354245917498201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Data!$D$7:$D$14</c:f>
              <c:numCache>
                <c:formatCode>0.0</c:formatCode>
                <c:ptCount val="8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27616"/>
        <c:axId val="185329536"/>
      </c:scatterChart>
      <c:valAx>
        <c:axId val="185327616"/>
        <c:scaling>
          <c:orientation val="minMax"/>
          <c:max val="201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329536"/>
        <c:crosses val="autoZero"/>
        <c:crossBetween val="midCat"/>
        <c:majorUnit val="5"/>
        <c:minorUnit val="1"/>
      </c:valAx>
      <c:valAx>
        <c:axId val="185329536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327616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6557643730657015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Data!$D$7:$D$14</c:f>
              <c:numCache>
                <c:formatCode>0.0</c:formatCode>
                <c:ptCount val="8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</c:numCache>
            </c:numRef>
          </c:yVal>
          <c:smooth val="1"/>
        </c:ser>
        <c:ser>
          <c:idx val="3"/>
          <c:order val="1"/>
          <c:tx>
            <c:v>Forecast growth, 2008 prudent assumptions</c:v>
          </c:tx>
          <c:spPr>
            <a:ln>
              <a:solidFill>
                <a:schemeClr val="tx2"/>
              </a:solidFill>
              <a:prstDash val="lgDash"/>
            </a:ln>
          </c:spPr>
          <c:marker>
            <c:symbol val="none"/>
          </c:marker>
          <c:xVal>
            <c:numRef>
              <c:f>Data!$A$14:$A$73</c:f>
              <c:numCache>
                <c:formatCode>General</c:formatCode>
                <c:ptCount val="6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  <c:pt idx="44">
                  <c:v>2052</c:v>
                </c:pt>
                <c:pt idx="45">
                  <c:v>2053</c:v>
                </c:pt>
                <c:pt idx="46">
                  <c:v>2054</c:v>
                </c:pt>
                <c:pt idx="47">
                  <c:v>2055</c:v>
                </c:pt>
                <c:pt idx="48">
                  <c:v>2056</c:v>
                </c:pt>
                <c:pt idx="49">
                  <c:v>2057</c:v>
                </c:pt>
                <c:pt idx="50">
                  <c:v>2058</c:v>
                </c:pt>
                <c:pt idx="51">
                  <c:v>2059</c:v>
                </c:pt>
                <c:pt idx="52">
                  <c:v>2060</c:v>
                </c:pt>
                <c:pt idx="53">
                  <c:v>2061</c:v>
                </c:pt>
                <c:pt idx="54">
                  <c:v>2062</c:v>
                </c:pt>
                <c:pt idx="55">
                  <c:v>2063</c:v>
                </c:pt>
                <c:pt idx="56">
                  <c:v>2064</c:v>
                </c:pt>
                <c:pt idx="57">
                  <c:v>2065</c:v>
                </c:pt>
                <c:pt idx="58">
                  <c:v>2066</c:v>
                </c:pt>
                <c:pt idx="59">
                  <c:v>2067</c:v>
                </c:pt>
              </c:numCache>
            </c:numRef>
          </c:xVal>
          <c:yVal>
            <c:numRef>
              <c:f>Data!$F$14:$F$73</c:f>
              <c:numCache>
                <c:formatCode>0.0</c:formatCode>
                <c:ptCount val="60"/>
                <c:pt idx="0">
                  <c:v>33.700908670025228</c:v>
                </c:pt>
                <c:pt idx="1">
                  <c:v>35.756664098896763</c:v>
                </c:pt>
                <c:pt idx="2">
                  <c:v>37.937820608929464</c:v>
                </c:pt>
                <c:pt idx="3">
                  <c:v>40.252027666074156</c:v>
                </c:pt>
                <c:pt idx="4">
                  <c:v>42.707401353704675</c:v>
                </c:pt>
                <c:pt idx="5">
                  <c:v>45.312552836280659</c:v>
                </c:pt>
                <c:pt idx="6">
                  <c:v>48.076618559293777</c:v>
                </c:pt>
                <c:pt idx="7">
                  <c:v>51.009292291410695</c:v>
                </c:pt>
                <c:pt idx="8">
                  <c:v>54.120859121186747</c:v>
                </c:pt>
                <c:pt idx="9">
                  <c:v>57.422231527579136</c:v>
                </c:pt>
                <c:pt idx="10">
                  <c:v>60.924987650761459</c:v>
                </c:pt>
                <c:pt idx="11">
                  <c:v>64.6414118974579</c:v>
                </c:pt>
                <c:pt idx="12">
                  <c:v>68.584538023202825</c:v>
                </c:pt>
                <c:pt idx="13">
                  <c:v>72.768194842618186</c:v>
                </c:pt>
                <c:pt idx="14">
                  <c:v>77.207054728017894</c:v>
                </c:pt>
                <c:pt idx="15">
                  <c:v>81.916685066426979</c:v>
                </c:pt>
                <c:pt idx="16">
                  <c:v>86.913602855479013</c:v>
                </c:pt>
                <c:pt idx="17">
                  <c:v>92.215332629663223</c:v>
                </c:pt>
                <c:pt idx="18">
                  <c:v>97.840467920072669</c:v>
                </c:pt>
                <c:pt idx="19">
                  <c:v>103.80873646319709</c:v>
                </c:pt>
                <c:pt idx="20">
                  <c:v>110.14106938745211</c:v>
                </c:pt>
                <c:pt idx="21">
                  <c:v>116.85967462008668</c:v>
                </c:pt>
                <c:pt idx="22">
                  <c:v>123.98811477191197</c:v>
                </c:pt>
                <c:pt idx="23">
                  <c:v>131.55138977299859</c:v>
                </c:pt>
                <c:pt idx="24">
                  <c:v>139.5760245491515</c:v>
                </c:pt>
                <c:pt idx="25">
                  <c:v>148.09016204664974</c:v>
                </c:pt>
                <c:pt idx="26">
                  <c:v>157.12366193149538</c:v>
                </c:pt>
                <c:pt idx="27">
                  <c:v>166.70820530931658</c:v>
                </c:pt>
                <c:pt idx="28">
                  <c:v>176.87740583318489</c:v>
                </c:pt>
                <c:pt idx="29">
                  <c:v>187.66692758900916</c:v>
                </c:pt>
                <c:pt idx="30">
                  <c:v>199.11461017193872</c:v>
                </c:pt>
                <c:pt idx="31">
                  <c:v>211.26060139242696</c:v>
                </c:pt>
                <c:pt idx="32">
                  <c:v>224.14749807736499</c:v>
                </c:pt>
                <c:pt idx="33">
                  <c:v>237.82049546008423</c:v>
                </c:pt>
                <c:pt idx="34">
                  <c:v>252.32754568314937</c:v>
                </c:pt>
                <c:pt idx="35">
                  <c:v>267.71952596982146</c:v>
                </c:pt>
                <c:pt idx="36">
                  <c:v>284.05041705398054</c:v>
                </c:pt>
                <c:pt idx="37">
                  <c:v>301.37749249427333</c:v>
                </c:pt>
                <c:pt idx="38">
                  <c:v>319.76151953642398</c:v>
                </c:pt>
                <c:pt idx="39">
                  <c:v>339.26697222814585</c:v>
                </c:pt>
                <c:pt idx="40">
                  <c:v>359.9622575340627</c:v>
                </c:pt>
                <c:pt idx="41">
                  <c:v>381.91995524364052</c:v>
                </c:pt>
                <c:pt idx="42">
                  <c:v>405.21707251350256</c:v>
                </c:pt>
                <c:pt idx="43">
                  <c:v>429.93531393682622</c:v>
                </c:pt>
                <c:pt idx="44">
                  <c:v>456.16136808697257</c:v>
                </c:pt>
                <c:pt idx="45">
                  <c:v>483.98721154027788</c:v>
                </c:pt>
                <c:pt idx="46">
                  <c:v>513.51043144423477</c:v>
                </c:pt>
                <c:pt idx="47">
                  <c:v>544.83456776233311</c:v>
                </c:pt>
                <c:pt idx="48">
                  <c:v>578.06947639583541</c:v>
                </c:pt>
                <c:pt idx="49">
                  <c:v>613.33171445598134</c:v>
                </c:pt>
                <c:pt idx="50">
                  <c:v>650.74494903779612</c:v>
                </c:pt>
                <c:pt idx="51">
                  <c:v>690.44039092910168</c:v>
                </c:pt>
                <c:pt idx="52">
                  <c:v>732.55725477577687</c:v>
                </c:pt>
                <c:pt idx="53">
                  <c:v>777.24324731709919</c:v>
                </c:pt>
                <c:pt idx="54">
                  <c:v>824.65508540344217</c:v>
                </c:pt>
                <c:pt idx="55">
                  <c:v>874.95904561305213</c:v>
                </c:pt>
                <c:pt idx="56">
                  <c:v>928.3315473954483</c:v>
                </c:pt>
                <c:pt idx="57">
                  <c:v>984.95977178657063</c:v>
                </c:pt>
                <c:pt idx="58">
                  <c:v>1045.0423178655515</c:v>
                </c:pt>
                <c:pt idx="59">
                  <c:v>1108.7898992553501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33088"/>
        <c:axId val="185435264"/>
      </c:scatterChart>
      <c:valAx>
        <c:axId val="185433088"/>
        <c:scaling>
          <c:orientation val="minMax"/>
          <c:max val="201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435264"/>
        <c:crosses val="autoZero"/>
        <c:crossBetween val="midCat"/>
        <c:majorUnit val="5"/>
        <c:minorUnit val="1"/>
      </c:valAx>
      <c:valAx>
        <c:axId val="185435264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433088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19833470155437619"/>
          <c:w val="0.21798272151529571"/>
          <c:h val="0.74532974127132789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3"/>
          <c:order val="1"/>
          <c:tx>
            <c:v>Forecast growth, 2008 prudent assumptions</c:v>
          </c:tx>
          <c:spPr>
            <a:ln>
              <a:solidFill>
                <a:schemeClr val="tx2"/>
              </a:solidFill>
              <a:prstDash val="lgDash"/>
            </a:ln>
          </c:spPr>
          <c:marker>
            <c:symbol val="none"/>
          </c:marker>
          <c:xVal>
            <c:numRef>
              <c:f>Data!$A$14:$A$73</c:f>
              <c:numCache>
                <c:formatCode>General</c:formatCode>
                <c:ptCount val="6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  <c:pt idx="44">
                  <c:v>2052</c:v>
                </c:pt>
                <c:pt idx="45">
                  <c:v>2053</c:v>
                </c:pt>
                <c:pt idx="46">
                  <c:v>2054</c:v>
                </c:pt>
                <c:pt idx="47">
                  <c:v>2055</c:v>
                </c:pt>
                <c:pt idx="48">
                  <c:v>2056</c:v>
                </c:pt>
                <c:pt idx="49">
                  <c:v>2057</c:v>
                </c:pt>
                <c:pt idx="50">
                  <c:v>2058</c:v>
                </c:pt>
                <c:pt idx="51">
                  <c:v>2059</c:v>
                </c:pt>
                <c:pt idx="52">
                  <c:v>2060</c:v>
                </c:pt>
                <c:pt idx="53">
                  <c:v>2061</c:v>
                </c:pt>
                <c:pt idx="54">
                  <c:v>2062</c:v>
                </c:pt>
                <c:pt idx="55">
                  <c:v>2063</c:v>
                </c:pt>
                <c:pt idx="56">
                  <c:v>2064</c:v>
                </c:pt>
                <c:pt idx="57">
                  <c:v>2065</c:v>
                </c:pt>
                <c:pt idx="58">
                  <c:v>2066</c:v>
                </c:pt>
                <c:pt idx="59">
                  <c:v>2067</c:v>
                </c:pt>
              </c:numCache>
            </c:numRef>
          </c:xVal>
          <c:yVal>
            <c:numRef>
              <c:f>Data!$F$14:$F$73</c:f>
              <c:numCache>
                <c:formatCode>0.0</c:formatCode>
                <c:ptCount val="60"/>
                <c:pt idx="0">
                  <c:v>33.700908670025228</c:v>
                </c:pt>
                <c:pt idx="1">
                  <c:v>35.756664098896763</c:v>
                </c:pt>
                <c:pt idx="2">
                  <c:v>37.937820608929464</c:v>
                </c:pt>
                <c:pt idx="3">
                  <c:v>40.252027666074156</c:v>
                </c:pt>
                <c:pt idx="4">
                  <c:v>42.707401353704675</c:v>
                </c:pt>
                <c:pt idx="5">
                  <c:v>45.312552836280659</c:v>
                </c:pt>
                <c:pt idx="6">
                  <c:v>48.076618559293777</c:v>
                </c:pt>
                <c:pt idx="7">
                  <c:v>51.009292291410695</c:v>
                </c:pt>
                <c:pt idx="8">
                  <c:v>54.120859121186747</c:v>
                </c:pt>
                <c:pt idx="9">
                  <c:v>57.422231527579136</c:v>
                </c:pt>
                <c:pt idx="10">
                  <c:v>60.924987650761459</c:v>
                </c:pt>
                <c:pt idx="11">
                  <c:v>64.6414118974579</c:v>
                </c:pt>
                <c:pt idx="12">
                  <c:v>68.584538023202825</c:v>
                </c:pt>
                <c:pt idx="13">
                  <c:v>72.768194842618186</c:v>
                </c:pt>
                <c:pt idx="14">
                  <c:v>77.207054728017894</c:v>
                </c:pt>
                <c:pt idx="15">
                  <c:v>81.916685066426979</c:v>
                </c:pt>
                <c:pt idx="16">
                  <c:v>86.913602855479013</c:v>
                </c:pt>
                <c:pt idx="17">
                  <c:v>92.215332629663223</c:v>
                </c:pt>
                <c:pt idx="18">
                  <c:v>97.840467920072669</c:v>
                </c:pt>
                <c:pt idx="19">
                  <c:v>103.80873646319709</c:v>
                </c:pt>
                <c:pt idx="20">
                  <c:v>110.14106938745211</c:v>
                </c:pt>
                <c:pt idx="21">
                  <c:v>116.85967462008668</c:v>
                </c:pt>
                <c:pt idx="22">
                  <c:v>123.98811477191197</c:v>
                </c:pt>
                <c:pt idx="23">
                  <c:v>131.55138977299859</c:v>
                </c:pt>
                <c:pt idx="24">
                  <c:v>139.5760245491515</c:v>
                </c:pt>
                <c:pt idx="25">
                  <c:v>148.09016204664974</c:v>
                </c:pt>
                <c:pt idx="26">
                  <c:v>157.12366193149538</c:v>
                </c:pt>
                <c:pt idx="27">
                  <c:v>166.70820530931658</c:v>
                </c:pt>
                <c:pt idx="28">
                  <c:v>176.87740583318489</c:v>
                </c:pt>
                <c:pt idx="29">
                  <c:v>187.66692758900916</c:v>
                </c:pt>
                <c:pt idx="30">
                  <c:v>199.11461017193872</c:v>
                </c:pt>
                <c:pt idx="31">
                  <c:v>211.26060139242696</c:v>
                </c:pt>
                <c:pt idx="32">
                  <c:v>224.14749807736499</c:v>
                </c:pt>
                <c:pt idx="33">
                  <c:v>237.82049546008423</c:v>
                </c:pt>
                <c:pt idx="34">
                  <c:v>252.32754568314937</c:v>
                </c:pt>
                <c:pt idx="35">
                  <c:v>267.71952596982146</c:v>
                </c:pt>
                <c:pt idx="36">
                  <c:v>284.05041705398054</c:v>
                </c:pt>
                <c:pt idx="37">
                  <c:v>301.37749249427333</c:v>
                </c:pt>
                <c:pt idx="38">
                  <c:v>319.76151953642398</c:v>
                </c:pt>
                <c:pt idx="39">
                  <c:v>339.26697222814585</c:v>
                </c:pt>
                <c:pt idx="40">
                  <c:v>359.9622575340627</c:v>
                </c:pt>
                <c:pt idx="41">
                  <c:v>381.91995524364052</c:v>
                </c:pt>
                <c:pt idx="42">
                  <c:v>405.21707251350256</c:v>
                </c:pt>
                <c:pt idx="43">
                  <c:v>429.93531393682622</c:v>
                </c:pt>
                <c:pt idx="44">
                  <c:v>456.16136808697257</c:v>
                </c:pt>
                <c:pt idx="45">
                  <c:v>483.98721154027788</c:v>
                </c:pt>
                <c:pt idx="46">
                  <c:v>513.51043144423477</c:v>
                </c:pt>
                <c:pt idx="47">
                  <c:v>544.83456776233311</c:v>
                </c:pt>
                <c:pt idx="48">
                  <c:v>578.06947639583541</c:v>
                </c:pt>
                <c:pt idx="49">
                  <c:v>613.33171445598134</c:v>
                </c:pt>
                <c:pt idx="50">
                  <c:v>650.74494903779612</c:v>
                </c:pt>
                <c:pt idx="51">
                  <c:v>690.44039092910168</c:v>
                </c:pt>
                <c:pt idx="52">
                  <c:v>732.55725477577687</c:v>
                </c:pt>
                <c:pt idx="53">
                  <c:v>777.24324731709919</c:v>
                </c:pt>
                <c:pt idx="54">
                  <c:v>824.65508540344217</c:v>
                </c:pt>
                <c:pt idx="55">
                  <c:v>874.95904561305213</c:v>
                </c:pt>
                <c:pt idx="56">
                  <c:v>928.3315473954483</c:v>
                </c:pt>
                <c:pt idx="57">
                  <c:v>984.95977178657063</c:v>
                </c:pt>
                <c:pt idx="58">
                  <c:v>1045.0423178655515</c:v>
                </c:pt>
                <c:pt idx="59">
                  <c:v>1108.7898992553501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69184"/>
        <c:axId val="185479552"/>
      </c:scatterChart>
      <c:valAx>
        <c:axId val="185469184"/>
        <c:scaling>
          <c:orientation val="minMax"/>
          <c:max val="201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479552"/>
        <c:crosses val="autoZero"/>
        <c:crossBetween val="midCat"/>
        <c:majorUnit val="5"/>
        <c:minorUnit val="1"/>
      </c:valAx>
      <c:valAx>
        <c:axId val="185479552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5469184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19833470155437619"/>
          <c:w val="0.21798272151529571"/>
          <c:h val="0.74532974127132789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400"/>
              <a:t>Starting USS's de-risking in Year 0</a:t>
            </a:r>
            <a:r>
              <a:rPr lang="en-US" sz="2400" baseline="0"/>
              <a:t> is expected to cost employers an extra £3.7bn in real terms over the next 20 years</a:t>
            </a:r>
            <a:endParaRPr lang="en-US" sz="2400"/>
          </a:p>
        </c:rich>
      </c:tx>
      <c:layout>
        <c:manualLayout>
          <c:xMode val="edge"/>
          <c:yMode val="edge"/>
          <c:x val="0.11388946129632956"/>
          <c:y val="1.55943921643940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barChart>
        <c:barDir val="col"/>
        <c:grouping val="stacked"/>
        <c:varyColors val="0"/>
        <c:ser>
          <c:idx val="0"/>
          <c:order val="0"/>
          <c:tx>
            <c:v>Projected assets (with immediate de-risking, adjusted for CPI)</c:v>
          </c:tx>
          <c:spPr>
            <a:solidFill>
              <a:srgbClr val="0070C0"/>
            </a:solidFill>
          </c:spPr>
          <c:invertIfNegative val="0"/>
          <c:cat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Data!$S$23:$S$43</c:f>
              <c:numCache>
                <c:formatCode>0.0</c:formatCode>
                <c:ptCount val="21"/>
                <c:pt idx="0">
                  <c:v>60</c:v>
                </c:pt>
                <c:pt idx="1">
                  <c:v>59.689846874085632</c:v>
                </c:pt>
                <c:pt idx="2">
                  <c:v>59.325589686683799</c:v>
                </c:pt>
                <c:pt idx="3">
                  <c:v>58.91196272323527</c:v>
                </c:pt>
                <c:pt idx="4">
                  <c:v>58.450705466532291</c:v>
                </c:pt>
                <c:pt idx="5">
                  <c:v>57.943139037257104</c:v>
                </c:pt>
                <c:pt idx="6">
                  <c:v>57.390811552330412</c:v>
                </c:pt>
                <c:pt idx="7">
                  <c:v>56.795172170121603</c:v>
                </c:pt>
                <c:pt idx="8">
                  <c:v>56.157873949158528</c:v>
                </c:pt>
                <c:pt idx="9">
                  <c:v>55.480399939448276</c:v>
                </c:pt>
                <c:pt idx="10">
                  <c:v>54.76434908794041</c:v>
                </c:pt>
                <c:pt idx="11">
                  <c:v>56.131455218268307</c:v>
                </c:pt>
                <c:pt idx="12">
                  <c:v>57.484297110231246</c:v>
                </c:pt>
                <c:pt idx="13">
                  <c:v>58.820412561849231</c:v>
                </c:pt>
                <c:pt idx="14">
                  <c:v>60.137577831473521</c:v>
                </c:pt>
                <c:pt idx="15">
                  <c:v>61.433298516690293</c:v>
                </c:pt>
                <c:pt idx="16">
                  <c:v>62.705320737362506</c:v>
                </c:pt>
                <c:pt idx="17">
                  <c:v>63.951259063280354</c:v>
                </c:pt>
                <c:pt idx="18">
                  <c:v>65.168726882880762</c:v>
                </c:pt>
                <c:pt idx="19">
                  <c:v>66.355457006662405</c:v>
                </c:pt>
                <c:pt idx="20">
                  <c:v>67.509071785343394</c:v>
                </c:pt>
              </c:numCache>
            </c:numRef>
          </c:val>
        </c:ser>
        <c:ser>
          <c:idx val="1"/>
          <c:order val="1"/>
          <c:tx>
            <c:v>Projected assets (with delayed de-risking, adjusted for CPI)</c:v>
          </c:tx>
          <c:spPr>
            <a:solidFill>
              <a:schemeClr val="accent2"/>
            </a:solidFill>
          </c:spPr>
          <c:invertIfNegative val="0"/>
          <c:cat>
            <c:numRef>
              <c:f>Data!$A$23:$A$43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Data!$V$23:$V$43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5.1868337364667241E-2</c:v>
                </c:pt>
                <c:pt idx="3">
                  <c:v>0.15471065976298495</c:v>
                </c:pt>
                <c:pt idx="4">
                  <c:v>0.30726722725395589</c:v>
                </c:pt>
                <c:pt idx="5">
                  <c:v>0.50823007744372373</c:v>
                </c:pt>
                <c:pt idx="6">
                  <c:v>0.75612334823134553</c:v>
                </c:pt>
                <c:pt idx="7">
                  <c:v>1.0494488644670454</c:v>
                </c:pt>
                <c:pt idx="8">
                  <c:v>1.3865644833706687</c:v>
                </c:pt>
                <c:pt idx="9">
                  <c:v>1.765880780995285</c:v>
                </c:pt>
                <c:pt idx="10">
                  <c:v>2.1857241856434846</c:v>
                </c:pt>
                <c:pt idx="11">
                  <c:v>2.3735688614202641</c:v>
                </c:pt>
                <c:pt idx="12">
                  <c:v>2.5538834699382016</c:v>
                </c:pt>
                <c:pt idx="13">
                  <c:v>2.7254427885833734</c:v>
                </c:pt>
                <c:pt idx="14">
                  <c:v>2.8870543936241413</c:v>
                </c:pt>
                <c:pt idx="15">
                  <c:v>3.0374993092943936</c:v>
                </c:pt>
                <c:pt idx="16">
                  <c:v>3.1755995257609491</c:v>
                </c:pt>
                <c:pt idx="17">
                  <c:v>3.3001790316996646</c:v>
                </c:pt>
                <c:pt idx="18">
                  <c:v>3.4100852454761084</c:v>
                </c:pt>
                <c:pt idx="19">
                  <c:v>3.5042045310956729</c:v>
                </c:pt>
                <c:pt idx="20">
                  <c:v>3.5814472174525682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875840"/>
        <c:axId val="183878016"/>
      </c:barChart>
      <c:catAx>
        <c:axId val="18387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878016"/>
        <c:crosses val="autoZero"/>
        <c:auto val="1"/>
        <c:lblAlgn val="ctr"/>
        <c:lblOffset val="100"/>
        <c:tickLblSkip val="10"/>
        <c:noMultiLvlLbl val="0"/>
      </c:catAx>
      <c:valAx>
        <c:axId val="183878016"/>
        <c:scaling>
          <c:orientation val="minMax"/>
          <c:max val="7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875840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5831049454542715"/>
          <c:w val="0.21798275215598051"/>
          <c:h val="0.5649709855134680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2001-2011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92992"/>
        <c:axId val="183915648"/>
      </c:scatterChart>
      <c:valAx>
        <c:axId val="183892992"/>
        <c:scaling>
          <c:orientation val="minMax"/>
          <c:max val="2011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915648"/>
        <c:crosses val="autoZero"/>
        <c:crossBetween val="midCat"/>
        <c:majorUnit val="5"/>
        <c:minorUnit val="1"/>
      </c:valAx>
      <c:valAx>
        <c:axId val="183915648"/>
        <c:scaling>
          <c:orientation val="minMax"/>
          <c:max val="3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892992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0589817029173876"/>
          <c:h val="0.561928373251849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2001-2014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34336"/>
        <c:axId val="183965184"/>
      </c:scatterChart>
      <c:valAx>
        <c:axId val="183934336"/>
        <c:scaling>
          <c:orientation val="minMax"/>
          <c:max val="2014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965184"/>
        <c:crosses val="autoZero"/>
        <c:crossBetween val="midCat"/>
        <c:majorUnit val="5"/>
        <c:minorUnit val="1"/>
      </c:valAx>
      <c:valAx>
        <c:axId val="183965184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934336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1709011624622962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2001-2014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Data!$A$7:$A$17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88992"/>
        <c:axId val="183990912"/>
      </c:scatterChart>
      <c:valAx>
        <c:axId val="183988992"/>
        <c:scaling>
          <c:orientation val="minMax"/>
          <c:max val="2014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990912"/>
        <c:crosses val="autoZero"/>
        <c:crossBetween val="midCat"/>
        <c:majorUnit val="5"/>
        <c:minorUnit val="1"/>
      </c:valAx>
      <c:valAx>
        <c:axId val="18399091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3988992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4117235345581802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2001-2014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Data!$D$7:$D$23</c:f>
              <c:numCache>
                <c:formatCode>0.0</c:formatCode>
                <c:ptCount val="17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  <c:pt idx="14">
                  <c:v>49.161944525334043</c:v>
                </c:pt>
                <c:pt idx="15">
                  <c:v>49.958368026644457</c:v>
                </c:pt>
                <c:pt idx="16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30592"/>
        <c:axId val="184432512"/>
      </c:scatterChart>
      <c:valAx>
        <c:axId val="184430592"/>
        <c:scaling>
          <c:orientation val="minMax"/>
          <c:max val="2014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432512"/>
        <c:crosses val="autoZero"/>
        <c:crossBetween val="midCat"/>
        <c:majorUnit val="5"/>
        <c:minorUnit val="1"/>
      </c:valAx>
      <c:valAx>
        <c:axId val="18443251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430592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7724846261133085"/>
          <c:y val="0.22182956205364196"/>
          <c:w val="0.21798275215598051"/>
          <c:h val="0.42151305976620762"/>
        </c:manualLayout>
      </c:layout>
      <c:overlay val="0"/>
      <c:txPr>
        <a:bodyPr/>
        <a:lstStyle/>
        <a:p>
          <a:pPr>
            <a:defRPr lang="en-GB"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Data!$D$7:$D$20</c:f>
              <c:numCache>
                <c:formatCode>0.0</c:formatCode>
                <c:ptCount val="14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Data!$A$17:$A$20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78720"/>
        <c:axId val="184480896"/>
      </c:scatterChart>
      <c:valAx>
        <c:axId val="184478720"/>
        <c:scaling>
          <c:orientation val="minMax"/>
          <c:max val="201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480896"/>
        <c:crosses val="autoZero"/>
        <c:crossBetween val="midCat"/>
        <c:majorUnit val="5"/>
        <c:minorUnit val="1"/>
      </c:valAx>
      <c:valAx>
        <c:axId val="184480896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478720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43256319832267665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Asset</a:t>
            </a:r>
            <a:r>
              <a:rPr lang="en-US" sz="2800" baseline="0"/>
              <a:t> growth in </a:t>
            </a:r>
            <a:r>
              <a:rPr lang="en-US" sz="2800"/>
              <a:t>USS, 2001-2017</a:t>
            </a:r>
          </a:p>
        </c:rich>
      </c:tx>
      <c:layout>
        <c:manualLayout>
          <c:xMode val="edge"/>
          <c:yMode val="edge"/>
          <c:x val="0.21152851691857849"/>
          <c:y val="2.64279231953968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705671987376199E-2"/>
          <c:y val="0.21664914242215191"/>
          <c:w val="0.64024186433898267"/>
          <c:h val="0.71097334887519725"/>
        </c:manualLayout>
      </c:layout>
      <c:scatterChart>
        <c:scatterStyle val="smoothMarker"/>
        <c:varyColors val="0"/>
        <c:ser>
          <c:idx val="0"/>
          <c:order val="0"/>
          <c:tx>
            <c:v>Actual asset growth</c:v>
          </c:tx>
          <c:spPr>
            <a:ln w="19050"/>
          </c:spPr>
          <c:marker>
            <c:symbol val="none"/>
          </c:marker>
          <c:xVal>
            <c:numRef>
              <c:f>Data!$A$7:$A$20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xVal>
          <c:yVal>
            <c:numRef>
              <c:f>Data!$D$7:$D$20</c:f>
              <c:numCache>
                <c:formatCode>0.0</c:formatCode>
                <c:ptCount val="14"/>
                <c:pt idx="0">
                  <c:v>23.865125334827393</c:v>
                </c:pt>
                <c:pt idx="1">
                  <c:v>21.454747676009827</c:v>
                </c:pt>
                <c:pt idx="2">
                  <c:v>17.871804814116185</c:v>
                </c:pt>
                <c:pt idx="3">
                  <c:v>21.12447329028533</c:v>
                </c:pt>
                <c:pt idx="4">
                  <c:v>23.004551413120723</c:v>
                </c:pt>
                <c:pt idx="5">
                  <c:v>28.525643752269698</c:v>
                </c:pt>
                <c:pt idx="6">
                  <c:v>31.349682483744399</c:v>
                </c:pt>
                <c:pt idx="7">
                  <c:v>33.700908670025228</c:v>
                </c:pt>
                <c:pt idx="8">
                  <c:v>24.534261511778368</c:v>
                </c:pt>
                <c:pt idx="9">
                  <c:v>29.612853644716491</c:v>
                </c:pt>
                <c:pt idx="10">
                  <c:v>33.077557521148321</c:v>
                </c:pt>
                <c:pt idx="11">
                  <c:v>33.183405705215996</c:v>
                </c:pt>
                <c:pt idx="12">
                  <c:v>36.966313955610623</c:v>
                </c:pt>
                <c:pt idx="13">
                  <c:v>41.698002141928789</c:v>
                </c:pt>
              </c:numCache>
            </c:numRef>
          </c:yVal>
          <c:smooth val="1"/>
        </c:ser>
        <c:ser>
          <c:idx val="1"/>
          <c:order val="1"/>
          <c:tx>
            <c:v>Forecast growth, 2011 prudent assumptions</c:v>
          </c:tx>
          <c:spPr>
            <a:ln>
              <a:solidFill>
                <a:schemeClr val="accent1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Data!$A$17:$A$56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Data!$H$17:$H$56</c:f>
              <c:numCache>
                <c:formatCode>0.0</c:formatCode>
                <c:ptCount val="40"/>
                <c:pt idx="0">
                  <c:v>33.077557521148321</c:v>
                </c:pt>
                <c:pt idx="1">
                  <c:v>35.095288529938365</c:v>
                </c:pt>
                <c:pt idx="2">
                  <c:v>37.236101130264601</c:v>
                </c:pt>
                <c:pt idx="3">
                  <c:v>39.50750329921074</c:v>
                </c:pt>
                <c:pt idx="4">
                  <c:v>41.917461000462595</c:v>
                </c:pt>
                <c:pt idx="5">
                  <c:v>44.474426121490808</c:v>
                </c:pt>
                <c:pt idx="6">
                  <c:v>47.187366114901742</c:v>
                </c:pt>
                <c:pt idx="7">
                  <c:v>50.065795447910745</c:v>
                </c:pt>
                <c:pt idx="8">
                  <c:v>53.119808970233294</c:v>
                </c:pt>
                <c:pt idx="9">
                  <c:v>56.360117317417519</c:v>
                </c:pt>
                <c:pt idx="10">
                  <c:v>59.798084473779987</c:v>
                </c:pt>
                <c:pt idx="11">
                  <c:v>63.445767626680563</c:v>
                </c:pt>
                <c:pt idx="12">
                  <c:v>67.315959451908071</c:v>
                </c:pt>
                <c:pt idx="13">
                  <c:v>71.422232978474455</c:v>
                </c:pt>
                <c:pt idx="14">
                  <c:v>75.778989190161397</c:v>
                </c:pt>
                <c:pt idx="15">
                  <c:v>80.401507530761236</c:v>
                </c:pt>
                <c:pt idx="16">
                  <c:v>85.305999490137665</c:v>
                </c:pt>
                <c:pt idx="17">
                  <c:v>90.509665459036057</c:v>
                </c:pt>
                <c:pt idx="18">
                  <c:v>96.03075505203725</c:v>
                </c:pt>
                <c:pt idx="19">
                  <c:v>101.88863111021152</c:v>
                </c:pt>
                <c:pt idx="20">
                  <c:v>108.10383760793442</c:v>
                </c:pt>
                <c:pt idx="21">
                  <c:v>114.69817170201841</c:v>
                </c:pt>
                <c:pt idx="22">
                  <c:v>121.69476017584152</c:v>
                </c:pt>
                <c:pt idx="23">
                  <c:v>129.11814054656784</c:v>
                </c:pt>
                <c:pt idx="24">
                  <c:v>136.99434711990847</c:v>
                </c:pt>
                <c:pt idx="25">
                  <c:v>145.35100229422287</c:v>
                </c:pt>
                <c:pt idx="26">
                  <c:v>154.21741343417045</c:v>
                </c:pt>
                <c:pt idx="27">
                  <c:v>163.62467565365483</c:v>
                </c:pt>
                <c:pt idx="28">
                  <c:v>173.60578086852777</c:v>
                </c:pt>
                <c:pt idx="29">
                  <c:v>184.19573350150796</c:v>
                </c:pt>
                <c:pt idx="30">
                  <c:v>195.43167324509994</c:v>
                </c:pt>
                <c:pt idx="31">
                  <c:v>207.35300531305103</c:v>
                </c:pt>
                <c:pt idx="32">
                  <c:v>220.00153863714712</c:v>
                </c:pt>
                <c:pt idx="33">
                  <c:v>233.4216324940131</c:v>
                </c:pt>
                <c:pt idx="34">
                  <c:v>247.66035207614789</c:v>
                </c:pt>
                <c:pt idx="35">
                  <c:v>262.76763355279292</c:v>
                </c:pt>
                <c:pt idx="36">
                  <c:v>278.79645919951327</c:v>
                </c:pt>
                <c:pt idx="37">
                  <c:v>295.80304321068354</c:v>
                </c:pt>
                <c:pt idx="38">
                  <c:v>313.84702884653524</c:v>
                </c:pt>
                <c:pt idx="39">
                  <c:v>332.99169760617389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18528"/>
        <c:axId val="184524800"/>
      </c:scatterChart>
      <c:valAx>
        <c:axId val="184518528"/>
        <c:scaling>
          <c:orientation val="minMax"/>
          <c:max val="2017"/>
          <c:min val="20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73679242078038787"/>
              <c:y val="0.9365141819508211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524800"/>
        <c:crosses val="autoZero"/>
        <c:crossBetween val="midCat"/>
        <c:majorUnit val="5"/>
        <c:minorUnit val="1"/>
      </c:valAx>
      <c:valAx>
        <c:axId val="184524800"/>
        <c:scaling>
          <c:orientation val="minMax"/>
          <c:max val="65"/>
          <c:min val="0"/>
        </c:scaling>
        <c:delete val="0"/>
        <c:axPos val="l"/>
        <c:majorGridlines>
          <c:spPr>
            <a:ln>
              <a:solidFill>
                <a:schemeClr val="accent1">
                  <a:alpha val="1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£bn</a:t>
                </a:r>
              </a:p>
            </c:rich>
          </c:tx>
          <c:layout>
            <c:manualLayout>
              <c:xMode val="edge"/>
              <c:yMode val="edge"/>
              <c:x val="2.5331207294286544E-2"/>
              <c:y val="0.147089627391742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4518528"/>
        <c:crosses val="autoZero"/>
        <c:crossBetween val="midCat"/>
        <c:majorUnit val="25"/>
      </c:valAx>
    </c:plotArea>
    <c:legend>
      <c:legendPos val="r"/>
      <c:layout>
        <c:manualLayout>
          <c:xMode val="edge"/>
          <c:yMode val="edge"/>
          <c:x val="0.78201724784401949"/>
          <c:y val="0.22770320133728011"/>
          <c:w val="0.21798275215598051"/>
          <c:h val="0.44235272353070404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9525</xdr:colOff>
      <xdr:row>37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14</xdr:col>
      <xdr:colOff>9525</xdr:colOff>
      <xdr:row>74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14</xdr:col>
      <xdr:colOff>9525</xdr:colOff>
      <xdr:row>111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28</xdr:col>
      <xdr:colOff>9525</xdr:colOff>
      <xdr:row>37</xdr:row>
      <xdr:rowOff>9525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1</xdr:row>
      <xdr:rowOff>0</xdr:rowOff>
    </xdr:from>
    <xdr:to>
      <xdr:col>42</xdr:col>
      <xdr:colOff>9525</xdr:colOff>
      <xdr:row>37</xdr:row>
      <xdr:rowOff>9525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0</xdr:colOff>
      <xdr:row>1</xdr:row>
      <xdr:rowOff>0</xdr:rowOff>
    </xdr:from>
    <xdr:to>
      <xdr:col>56</xdr:col>
      <xdr:colOff>9525</xdr:colOff>
      <xdr:row>37</xdr:row>
      <xdr:rowOff>9525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57</xdr:col>
      <xdr:colOff>0</xdr:colOff>
      <xdr:row>1</xdr:row>
      <xdr:rowOff>0</xdr:rowOff>
    </xdr:from>
    <xdr:to>
      <xdr:col>70</xdr:col>
      <xdr:colOff>9525</xdr:colOff>
      <xdr:row>37</xdr:row>
      <xdr:rowOff>9525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1</xdr:row>
      <xdr:rowOff>0</xdr:rowOff>
    </xdr:from>
    <xdr:to>
      <xdr:col>84</xdr:col>
      <xdr:colOff>9525</xdr:colOff>
      <xdr:row>37</xdr:row>
      <xdr:rowOff>9525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85</xdr:col>
      <xdr:colOff>0</xdr:colOff>
      <xdr:row>1</xdr:row>
      <xdr:rowOff>0</xdr:rowOff>
    </xdr:from>
    <xdr:to>
      <xdr:col>98</xdr:col>
      <xdr:colOff>9525</xdr:colOff>
      <xdr:row>37</xdr:row>
      <xdr:rowOff>9525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99</xdr:col>
      <xdr:colOff>0</xdr:colOff>
      <xdr:row>1</xdr:row>
      <xdr:rowOff>0</xdr:rowOff>
    </xdr:from>
    <xdr:to>
      <xdr:col>112</xdr:col>
      <xdr:colOff>9525</xdr:colOff>
      <xdr:row>37</xdr:row>
      <xdr:rowOff>9525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113</xdr:col>
      <xdr:colOff>0</xdr:colOff>
      <xdr:row>1</xdr:row>
      <xdr:rowOff>0</xdr:rowOff>
    </xdr:from>
    <xdr:to>
      <xdr:col>126</xdr:col>
      <xdr:colOff>9525</xdr:colOff>
      <xdr:row>37</xdr:row>
      <xdr:rowOff>9525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127</xdr:col>
      <xdr:colOff>0</xdr:colOff>
      <xdr:row>1</xdr:row>
      <xdr:rowOff>0</xdr:rowOff>
    </xdr:from>
    <xdr:to>
      <xdr:col>140</xdr:col>
      <xdr:colOff>9525</xdr:colOff>
      <xdr:row>37</xdr:row>
      <xdr:rowOff>9525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141</xdr:col>
      <xdr:colOff>0</xdr:colOff>
      <xdr:row>1</xdr:row>
      <xdr:rowOff>0</xdr:rowOff>
    </xdr:from>
    <xdr:to>
      <xdr:col>154</xdr:col>
      <xdr:colOff>9525</xdr:colOff>
      <xdr:row>37</xdr:row>
      <xdr:rowOff>9525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155</xdr:col>
      <xdr:colOff>0</xdr:colOff>
      <xdr:row>1</xdr:row>
      <xdr:rowOff>0</xdr:rowOff>
    </xdr:from>
    <xdr:to>
      <xdr:col>168</xdr:col>
      <xdr:colOff>9525</xdr:colOff>
      <xdr:row>37</xdr:row>
      <xdr:rowOff>9525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169</xdr:col>
      <xdr:colOff>0</xdr:colOff>
      <xdr:row>1</xdr:row>
      <xdr:rowOff>0</xdr:rowOff>
    </xdr:from>
    <xdr:to>
      <xdr:col>182</xdr:col>
      <xdr:colOff>9525</xdr:colOff>
      <xdr:row>37</xdr:row>
      <xdr:rowOff>9525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183</xdr:col>
      <xdr:colOff>0</xdr:colOff>
      <xdr:row>1</xdr:row>
      <xdr:rowOff>0</xdr:rowOff>
    </xdr:from>
    <xdr:to>
      <xdr:col>196</xdr:col>
      <xdr:colOff>9524</xdr:colOff>
      <xdr:row>37</xdr:row>
      <xdr:rowOff>9525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197</xdr:col>
      <xdr:colOff>0</xdr:colOff>
      <xdr:row>1</xdr:row>
      <xdr:rowOff>0</xdr:rowOff>
    </xdr:from>
    <xdr:to>
      <xdr:col>210</xdr:col>
      <xdr:colOff>9525</xdr:colOff>
      <xdr:row>37</xdr:row>
      <xdr:rowOff>9525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211</xdr:col>
      <xdr:colOff>0</xdr:colOff>
      <xdr:row>1</xdr:row>
      <xdr:rowOff>0</xdr:rowOff>
    </xdr:from>
    <xdr:to>
      <xdr:col>224</xdr:col>
      <xdr:colOff>9525</xdr:colOff>
      <xdr:row>37</xdr:row>
      <xdr:rowOff>9525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225</xdr:col>
      <xdr:colOff>0</xdr:colOff>
      <xdr:row>1</xdr:row>
      <xdr:rowOff>0</xdr:rowOff>
    </xdr:from>
    <xdr:to>
      <xdr:col>238</xdr:col>
      <xdr:colOff>9524</xdr:colOff>
      <xdr:row>37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239</xdr:col>
      <xdr:colOff>0</xdr:colOff>
      <xdr:row>1</xdr:row>
      <xdr:rowOff>0</xdr:rowOff>
    </xdr:from>
    <xdr:to>
      <xdr:col>252</xdr:col>
      <xdr:colOff>9525</xdr:colOff>
      <xdr:row>37</xdr:row>
      <xdr:rowOff>9525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253</xdr:col>
      <xdr:colOff>0</xdr:colOff>
      <xdr:row>1</xdr:row>
      <xdr:rowOff>0</xdr:rowOff>
    </xdr:from>
    <xdr:to>
      <xdr:col>266</xdr:col>
      <xdr:colOff>9525</xdr:colOff>
      <xdr:row>37</xdr:row>
      <xdr:rowOff>9525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267</xdr:col>
      <xdr:colOff>0</xdr:colOff>
      <xdr:row>1</xdr:row>
      <xdr:rowOff>0</xdr:rowOff>
    </xdr:from>
    <xdr:to>
      <xdr:col>280</xdr:col>
      <xdr:colOff>9524</xdr:colOff>
      <xdr:row>37</xdr:row>
      <xdr:rowOff>9525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281</xdr:col>
      <xdr:colOff>0</xdr:colOff>
      <xdr:row>1</xdr:row>
      <xdr:rowOff>0</xdr:rowOff>
    </xdr:from>
    <xdr:to>
      <xdr:col>294</xdr:col>
      <xdr:colOff>9525</xdr:colOff>
      <xdr:row>37</xdr:row>
      <xdr:rowOff>9525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0.09867</cdr:x>
      <cdr:y>0.74112</cdr:y>
    </cdr:from>
    <cdr:to>
      <cdr:x>0.42577</cdr:x>
      <cdr:y>0.88474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2841" y="4920215"/>
          <a:ext cx="2595359" cy="953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To make good the difference by</a:t>
          </a:r>
          <a:r>
            <a:rPr lang="en-GB" sz="1400" baseline="0"/>
            <a:t> 2050 would require a one-off injection now of </a:t>
          </a:r>
          <a:r>
            <a:rPr lang="en-GB" sz="1400"/>
            <a:t>£16.1bn</a:t>
          </a:r>
        </a:p>
      </cdr:txBody>
    </cdr:sp>
  </cdr:relSizeAnchor>
  <cdr:relSizeAnchor xmlns:cdr="http://schemas.openxmlformats.org/drawingml/2006/chartDrawing">
    <cdr:from>
      <cdr:x>0.0856</cdr:x>
      <cdr:y>0.68873</cdr:y>
    </cdr:from>
    <cdr:to>
      <cdr:x>0.09136</cdr:x>
      <cdr:y>0.73075</cdr:y>
    </cdr:to>
    <cdr:sp macro="" textlink="">
      <cdr:nvSpPr>
        <cdr:cNvPr id="11" name="Up-Down Arrow 10"/>
        <cdr:cNvSpPr/>
      </cdr:nvSpPr>
      <cdr:spPr>
        <a:xfrm xmlns:a="http://schemas.openxmlformats.org/drawingml/2006/main">
          <a:off x="679178" y="4572435"/>
          <a:ext cx="45719" cy="278966"/>
        </a:xfrm>
        <a:prstGeom xmlns:a="http://schemas.openxmlformats.org/drawingml/2006/main" prst="upDown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0.71228</cdr:x>
      <cdr:y>0.2726</cdr:y>
    </cdr:from>
    <cdr:to>
      <cdr:x>0.71805</cdr:x>
      <cdr:y>0.39598</cdr:y>
    </cdr:to>
    <cdr:sp macro="" textlink="">
      <cdr:nvSpPr>
        <cdr:cNvPr id="4" name="Up-Down Arrow 3"/>
        <cdr:cNvSpPr/>
      </cdr:nvSpPr>
      <cdr:spPr>
        <a:xfrm xmlns:a="http://schemas.openxmlformats.org/drawingml/2006/main">
          <a:off x="5651500" y="1809750"/>
          <a:ext cx="45719" cy="819150"/>
        </a:xfrm>
        <a:prstGeom xmlns:a="http://schemas.openxmlformats.org/drawingml/2006/main" prst="upDownArrow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0.08804</cdr:x>
      <cdr:y>0.68771</cdr:y>
    </cdr:from>
    <cdr:to>
      <cdr:x>0.16967</cdr:x>
      <cdr:y>0.72884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8500" y="4565650"/>
          <a:ext cx="64770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£16.1bn</a:t>
          </a:r>
        </a:p>
      </cdr:txBody>
    </cdr:sp>
  </cdr:relSizeAnchor>
  <cdr:relSizeAnchor xmlns:cdr="http://schemas.openxmlformats.org/drawingml/2006/chartDrawing">
    <cdr:from>
      <cdr:x>0.71469</cdr:x>
      <cdr:y>0.31659</cdr:y>
    </cdr:from>
    <cdr:to>
      <cdr:x>0.78111</cdr:x>
      <cdr:y>0.3759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670550" y="2101850"/>
          <a:ext cx="527050" cy="39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£44.8bn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0.55622</cdr:x>
      <cdr:y>0.26973</cdr:y>
    </cdr:from>
    <cdr:to>
      <cdr:x>0.72669</cdr:x>
      <cdr:y>0.31659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13250" y="1790700"/>
          <a:ext cx="1352550" cy="31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/>
            <a:t>£22.4bn by 2050</a:t>
          </a:r>
        </a:p>
      </cdr:txBody>
    </cdr:sp>
  </cdr:relSizeAnchor>
  <cdr:relSizeAnchor xmlns:cdr="http://schemas.openxmlformats.org/drawingml/2006/chartDrawing">
    <cdr:from>
      <cdr:x>0.32013</cdr:x>
      <cdr:y>0.45433</cdr:y>
    </cdr:from>
    <cdr:to>
      <cdr:x>0.47139</cdr:x>
      <cdr:y>0.52511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40000" y="3016250"/>
          <a:ext cx="1200150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/>
            <a:t>£7.1bn by 2037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0.12452</cdr:x>
      <cdr:y>0.32305</cdr:y>
    </cdr:from>
    <cdr:to>
      <cdr:x>0.55637</cdr:x>
      <cdr:y>0.56779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834" y="2095500"/>
          <a:ext cx="3450166" cy="158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/>
            <a:t>Expected cost of de-risking</a:t>
          </a:r>
          <a:r>
            <a:rPr lang="en-GB" sz="1800" baseline="0"/>
            <a:t> to the</a:t>
          </a:r>
          <a:br>
            <a:rPr lang="en-GB" sz="1800" baseline="0"/>
          </a:br>
          <a:r>
            <a:rPr lang="en-GB" sz="1800" baseline="0"/>
            <a:t>sector over the next 20 years:</a:t>
          </a:r>
          <a:r>
            <a:rPr lang="en-GB" sz="1800"/>
            <a:t/>
          </a:r>
          <a:br>
            <a:rPr lang="en-GB" sz="1800"/>
          </a:br>
          <a:r>
            <a:rPr lang="en-GB" sz="1800"/>
            <a:t/>
          </a:r>
          <a:br>
            <a:rPr lang="en-GB" sz="1800"/>
          </a:br>
          <a:r>
            <a:rPr lang="en-GB" sz="1800"/>
            <a:t>September</a:t>
          </a:r>
          <a:r>
            <a:rPr lang="en-GB" sz="1800" baseline="0"/>
            <a:t> plan: £5.4bn</a:t>
          </a:r>
          <a:r>
            <a:rPr lang="en-GB" sz="1800"/>
            <a:t/>
          </a:r>
          <a:br>
            <a:rPr lang="en-GB" sz="1800"/>
          </a:br>
          <a:r>
            <a:rPr lang="en-GB" sz="1800"/>
            <a:t>November plan: £11.0bn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0.12452</cdr:x>
      <cdr:y>0.32305</cdr:y>
    </cdr:from>
    <cdr:to>
      <cdr:x>0.55637</cdr:x>
      <cdr:y>0.56779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834" y="2095500"/>
          <a:ext cx="3450166" cy="158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/>
            <a:t>Expected cost of de-risking</a:t>
          </a:r>
          <a:r>
            <a:rPr lang="en-GB" sz="1800" baseline="0"/>
            <a:t> to the</a:t>
          </a:r>
          <a:br>
            <a:rPr lang="en-GB" sz="1800" baseline="0"/>
          </a:br>
          <a:r>
            <a:rPr lang="en-GB" sz="1800" baseline="0"/>
            <a:t>University over the next 20 years:</a:t>
          </a:r>
          <a:r>
            <a:rPr lang="en-GB" sz="1800"/>
            <a:t/>
          </a:r>
          <a:br>
            <a:rPr lang="en-GB" sz="1800"/>
          </a:br>
          <a:r>
            <a:rPr lang="en-GB" sz="1800"/>
            <a:t/>
          </a:r>
          <a:br>
            <a:rPr lang="en-GB" sz="1800"/>
          </a:br>
          <a:r>
            <a:rPr lang="en-GB" sz="1800"/>
            <a:t>September</a:t>
          </a:r>
          <a:r>
            <a:rPr lang="en-GB" sz="1800" baseline="0"/>
            <a:t> plan: £100m?</a:t>
          </a:r>
          <a:r>
            <a:rPr lang="en-GB" sz="1800"/>
            <a:t/>
          </a:r>
          <a:br>
            <a:rPr lang="en-GB" sz="1800"/>
          </a:br>
          <a:r>
            <a:rPr lang="en-GB" sz="1800"/>
            <a:t>November plan: £220m?</a:t>
          </a:r>
        </a:p>
      </cdr:txBody>
    </cdr:sp>
  </cdr:relSizeAnchor>
</c:userShapes>
</file>

<file path=xl/tables/table1.xml><?xml version="1.0" encoding="utf-8"?>
<table xmlns="http://schemas.openxmlformats.org/spreadsheetml/2006/main" id="2" name="Table2" displayName="Table2" ref="A6:AS73" totalsRowShown="0" headerRowDxfId="48" dataDxfId="46" headerRowBorderDxfId="47" tableBorderDxfId="45">
  <tableColumns count="45">
    <tableColumn id="1" name="Year" dataDxfId="44"/>
    <tableColumn id="50" name="Annual investment returns" dataDxfId="43"/>
    <tableColumn id="51" name="Compounded investment returns" dataDxfId="42"/>
    <tableColumn id="52" name="Equivalent value of 2017 assets" dataDxfId="41"/>
    <tableColumn id="45" name="2008 discount rate" dataDxfId="40"/>
    <tableColumn id="46" name="Forecast growth, 2008 discount rate" dataDxfId="39"/>
    <tableColumn id="40" name="2011 discount rate" dataDxfId="38"/>
    <tableColumn id="41" name="Forecast growth, 2011 discount rate" dataDxfId="37"/>
    <tableColumn id="42" name="2014 discount rate" dataDxfId="36"/>
    <tableColumn id="43" name="Forecast growth, 2014 discount rate" dataDxfId="35"/>
    <tableColumn id="2" name="Discount rate A1" dataDxfId="34"/>
    <tableColumn id="3" name="Compounded discount rate A1" dataDxfId="33">
      <calculatedColumnFormula>(1+L6)*(1+K7)-1</calculatedColumnFormula>
    </tableColumn>
    <tableColumn id="4" name="Asset growth A1" dataDxfId="32">
      <calculatedColumnFormula>M6*(1+K7)</calculatedColumnFormula>
    </tableColumn>
    <tableColumn id="33" name="Asset growth A1 (real terms)" dataDxfId="31"/>
    <tableColumn id="22" name="Asset growth A1 with extra £0.5bn pa contributions" dataDxfId="30"/>
    <tableColumn id="24" name="Discount rate A2" dataDxfId="29"/>
    <tableColumn id="25" name="Compounded discount rate A2" dataDxfId="28">
      <calculatedColumnFormula>P7</calculatedColumnFormula>
    </tableColumn>
    <tableColumn id="29" name="Asset growth A2" dataDxfId="27"/>
    <tableColumn id="38" name="Asset growth A2 (real terms)" dataDxfId="26"/>
    <tableColumn id="31" name="Difference in assets (A2 - A1)" dataDxfId="25">
      <calculatedColumnFormula>Table2[[#This Row],[Asset growth A1]]-Table2[[#This Row],[Asset growth A2]]</calculatedColumnFormula>
    </tableColumn>
    <tableColumn id="30" name="Present value of difference in assets (A2 - A1)" dataDxfId="24"/>
    <tableColumn id="32" name="Real terms difference in assets (A2 vs A1)" dataDxfId="23">
      <calculatedColumnFormula>Table2[[#This Row],[Difference in assets (A2 - A1)]]/(1+Table2[[#This Row],[Compounded CPI]])</calculatedColumnFormula>
    </tableColumn>
    <tableColumn id="5" name="Discount rate B" dataDxfId="22">
      <calculatedColumnFormula>AK7+2.8%</calculatedColumnFormula>
    </tableColumn>
    <tableColumn id="6" name="Asset growth B" dataDxfId="21">
      <calculatedColumnFormula>X6*(1+W7)</calculatedColumnFormula>
    </tableColumn>
    <tableColumn id="39" name="Asset growth B (real terms)" dataDxfId="20"/>
    <tableColumn id="28" name="Asset growth B with extra £0.5bn pa contributions" dataDxfId="19">
      <calculatedColumnFormula>Z6*(1+Table2[[#This Row],[Discount rate B]])+0.5*(1+Table2[[#This Row],[Compounded salary growth]])</calculatedColumnFormula>
    </tableColumn>
    <tableColumn id="7" name="Difference in assets (B - A1)" dataDxfId="18">
      <calculatedColumnFormula>X7-M7</calculatedColumnFormula>
    </tableColumn>
    <tableColumn id="8" name="Present value of difference in assets (B - A1)" dataDxfId="17">
      <calculatedColumnFormula>AA7/(1+L7)</calculatedColumnFormula>
    </tableColumn>
    <tableColumn id="37" name="Real terms difference in assets (B vs A1)" dataDxfId="16"/>
    <tableColumn id="36" name="Difference in assets (B - A2)" dataDxfId="15">
      <calculatedColumnFormula>X7-R7</calculatedColumnFormula>
    </tableColumn>
    <tableColumn id="35" name="Present value of difference in assets (B - A2)" dataDxfId="14"/>
    <tableColumn id="34" name="Real terms difference in assets (B vs A2)" dataDxfId="13"/>
    <tableColumn id="9" name="Discount rate C" dataDxfId="12"/>
    <tableColumn id="10" name="Asset growth C" dataDxfId="11">
      <calculatedColumnFormula>AH6*(1+AG7)</calculatedColumnFormula>
    </tableColumn>
    <tableColumn id="11" name="Difference in assets (C - A)" dataDxfId="10">
      <calculatedColumnFormula>AH7-M7</calculatedColumnFormula>
    </tableColumn>
    <tableColumn id="12" name="Present value of difference in assets (C - A)" dataDxfId="9">
      <calculatedColumnFormula>AI7/(1+L7)</calculatedColumnFormula>
    </tableColumn>
    <tableColumn id="13" name="CPI" dataDxfId="8"/>
    <tableColumn id="23" name="Compounded CPI" dataDxfId="7"/>
    <tableColumn id="16" name="Salary growth" dataDxfId="6">
      <calculatedColumnFormula>AK7+2%</calculatedColumnFormula>
    </tableColumn>
    <tableColumn id="26" name="Compounded salary growth" dataDxfId="5"/>
    <tableColumn id="14" name="Target reliance inflated with CPI" dataDxfId="4">
      <calculatedColumnFormula>AO6*(1+AK7)</calculatedColumnFormula>
    </tableColumn>
    <tableColumn id="15" name="Maximum reliance inflated with CPI" dataDxfId="3">
      <calculatedColumnFormula>AP6*(1+AK7)</calculatedColumnFormula>
    </tableColumn>
    <tableColumn id="27" name="Target reliance inflated with salary growth" dataDxfId="2">
      <calculatedColumnFormula>Table2[]</calculatedColumnFormula>
    </tableColumn>
    <tableColumn id="17" name="Maximum reliance inflated with salary growth" dataDxfId="1">
      <calculatedColumnFormula>AR6*(1+AM7)</calculatedColumnFormula>
    </tableColumn>
    <tableColumn id="20" name="Assets + £16.1bn, de-risked by A2" dataDxfId="0">
      <calculatedColumnFormula>AS6*(1+K7)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S7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5" sqref="F15"/>
    </sheetView>
  </sheetViews>
  <sheetFormatPr defaultRowHeight="14.5" x14ac:dyDescent="0.35"/>
  <cols>
    <col min="1" max="1" width="9.36328125" style="7" customWidth="1"/>
    <col min="2" max="2" width="11.453125" style="1" customWidth="1"/>
    <col min="3" max="3" width="15.453125" style="1" customWidth="1"/>
    <col min="4" max="4" width="11.08984375" style="1" customWidth="1"/>
    <col min="5" max="5" width="14.6328125" style="6" customWidth="1"/>
    <col min="6" max="6" width="15" style="1" customWidth="1"/>
    <col min="7" max="7" width="12" style="1" customWidth="1"/>
    <col min="8" max="8" width="13" customWidth="1"/>
    <col min="9" max="9" width="12" style="1" customWidth="1"/>
    <col min="10" max="10" width="9.36328125" style="1" customWidth="1"/>
    <col min="11" max="11" width="15.453125" customWidth="1"/>
    <col min="12" max="12" width="10.26953125" customWidth="1"/>
    <col min="13" max="13" width="14.1796875" customWidth="1"/>
    <col min="15" max="15" width="12.453125" customWidth="1"/>
    <col min="17" max="17" width="11.36328125" customWidth="1"/>
    <col min="18" max="18" width="14.90625" customWidth="1"/>
    <col min="19" max="19" width="16.90625" style="1" customWidth="1"/>
    <col min="20" max="20" width="18.36328125" style="1" customWidth="1"/>
    <col min="21" max="21" width="13.54296875" customWidth="1"/>
    <col min="22" max="22" width="14.36328125" customWidth="1"/>
    <col min="23" max="23" width="14.81640625" customWidth="1"/>
    <col min="24" max="25" width="16.54296875" customWidth="1"/>
    <col min="26" max="27" width="9.54296875" customWidth="1"/>
    <col min="28" max="28" width="11.453125" customWidth="1"/>
    <col min="29" max="29" width="13.08984375" style="1" customWidth="1"/>
    <col min="30" max="30" width="27" customWidth="1"/>
    <col min="31" max="31" width="8.7265625" customWidth="1"/>
    <col min="33" max="33" width="13" customWidth="1"/>
    <col min="35" max="35" width="15.453125" customWidth="1"/>
    <col min="37" max="37" width="14.7265625" customWidth="1"/>
    <col min="38" max="38" width="12.54296875" customWidth="1"/>
    <col min="39" max="39" width="14.6328125" customWidth="1"/>
    <col min="40" max="42" width="0" hidden="1" customWidth="1"/>
  </cols>
  <sheetData>
    <row r="1" spans="1:45" ht="18.5" x14ac:dyDescent="0.45">
      <c r="B1" s="26" t="s">
        <v>17</v>
      </c>
      <c r="O1" s="1"/>
      <c r="P1" s="1"/>
      <c r="S1"/>
      <c r="T1"/>
      <c r="X1" s="1"/>
      <c r="AC1"/>
    </row>
    <row r="2" spans="1:45" ht="18.5" x14ac:dyDescent="0.45">
      <c r="B2" s="26" t="s">
        <v>4</v>
      </c>
      <c r="O2" s="1"/>
      <c r="P2" s="1"/>
      <c r="S2"/>
      <c r="T2"/>
      <c r="X2" s="1"/>
      <c r="AC2"/>
    </row>
    <row r="3" spans="1:45" ht="18.5" x14ac:dyDescent="0.45">
      <c r="A3" s="4"/>
      <c r="B3" s="26"/>
      <c r="O3" s="1"/>
      <c r="P3" s="1"/>
      <c r="S3"/>
      <c r="T3"/>
      <c r="X3" s="1"/>
      <c r="AC3"/>
    </row>
    <row r="4" spans="1:45" ht="15" thickBot="1" x14ac:dyDescent="0.4">
      <c r="A4" s="4"/>
      <c r="O4" s="1"/>
      <c r="P4" s="1"/>
      <c r="S4"/>
      <c r="T4"/>
      <c r="X4" s="1"/>
      <c r="AC4"/>
    </row>
    <row r="5" spans="1:45" s="49" customFormat="1" ht="35" customHeight="1" thickTop="1" thickBot="1" x14ac:dyDescent="0.4">
      <c r="A5" s="47"/>
      <c r="B5" s="83" t="s">
        <v>47</v>
      </c>
      <c r="C5" s="84"/>
      <c r="D5" s="85"/>
      <c r="E5" s="64" t="s">
        <v>52</v>
      </c>
      <c r="F5" s="65"/>
      <c r="G5" s="65"/>
      <c r="H5" s="65"/>
      <c r="I5" s="65"/>
      <c r="J5" s="66"/>
      <c r="K5" s="83" t="s">
        <v>53</v>
      </c>
      <c r="L5" s="84"/>
      <c r="M5" s="84"/>
      <c r="N5" s="84"/>
      <c r="O5" s="85"/>
      <c r="P5" s="83" t="s">
        <v>54</v>
      </c>
      <c r="Q5" s="84"/>
      <c r="R5" s="84"/>
      <c r="S5" s="84"/>
      <c r="T5" s="84"/>
      <c r="U5" s="84"/>
      <c r="V5" s="85"/>
      <c r="W5" s="83" t="s">
        <v>8</v>
      </c>
      <c r="X5" s="84"/>
      <c r="Y5" s="84"/>
      <c r="Z5" s="84"/>
      <c r="AA5" s="84"/>
      <c r="AB5" s="84"/>
      <c r="AC5" s="84"/>
      <c r="AD5" s="84"/>
      <c r="AE5" s="84"/>
      <c r="AF5" s="85"/>
      <c r="AG5" s="83" t="s">
        <v>9</v>
      </c>
      <c r="AH5" s="84"/>
      <c r="AI5" s="84"/>
      <c r="AJ5" s="85"/>
      <c r="AK5" s="80" t="s">
        <v>12</v>
      </c>
      <c r="AL5" s="86"/>
      <c r="AM5" s="86"/>
      <c r="AN5" s="82"/>
      <c r="AO5" s="80" t="s">
        <v>13</v>
      </c>
      <c r="AP5" s="81"/>
      <c r="AQ5" s="81"/>
      <c r="AR5" s="82"/>
      <c r="AS5" s="48" t="s">
        <v>14</v>
      </c>
    </row>
    <row r="6" spans="1:45" s="3" customFormat="1" ht="102.5" thickTop="1" thickBot="1" x14ac:dyDescent="0.4">
      <c r="A6" s="13" t="s">
        <v>0</v>
      </c>
      <c r="B6" s="14" t="s">
        <v>48</v>
      </c>
      <c r="C6" s="14" t="s">
        <v>49</v>
      </c>
      <c r="D6" s="14" t="s">
        <v>50</v>
      </c>
      <c r="E6" s="15" t="s">
        <v>55</v>
      </c>
      <c r="F6" s="14" t="s">
        <v>56</v>
      </c>
      <c r="G6" s="14" t="s">
        <v>45</v>
      </c>
      <c r="H6" s="14" t="s">
        <v>44</v>
      </c>
      <c r="I6" s="14" t="s">
        <v>46</v>
      </c>
      <c r="J6" s="14" t="s">
        <v>51</v>
      </c>
      <c r="K6" s="15" t="s">
        <v>25</v>
      </c>
      <c r="L6" s="14" t="s">
        <v>28</v>
      </c>
      <c r="M6" s="14" t="s">
        <v>29</v>
      </c>
      <c r="N6" s="14" t="s">
        <v>40</v>
      </c>
      <c r="O6" s="14" t="s">
        <v>30</v>
      </c>
      <c r="P6" s="15" t="s">
        <v>24</v>
      </c>
      <c r="Q6" s="14" t="s">
        <v>26</v>
      </c>
      <c r="R6" s="14" t="s">
        <v>27</v>
      </c>
      <c r="S6" s="14" t="s">
        <v>41</v>
      </c>
      <c r="T6" s="14" t="s">
        <v>31</v>
      </c>
      <c r="U6" s="44" t="s">
        <v>32</v>
      </c>
      <c r="V6" s="44" t="s">
        <v>37</v>
      </c>
      <c r="W6" s="45" t="s">
        <v>6</v>
      </c>
      <c r="X6" s="44" t="s">
        <v>7</v>
      </c>
      <c r="Y6" s="44" t="s">
        <v>42</v>
      </c>
      <c r="Z6" s="44" t="s">
        <v>23</v>
      </c>
      <c r="AA6" s="44" t="s">
        <v>34</v>
      </c>
      <c r="AB6" s="44" t="s">
        <v>33</v>
      </c>
      <c r="AC6" s="44" t="s">
        <v>38</v>
      </c>
      <c r="AD6" s="44" t="s">
        <v>36</v>
      </c>
      <c r="AE6" s="44" t="s">
        <v>35</v>
      </c>
      <c r="AF6" s="44" t="s">
        <v>39</v>
      </c>
      <c r="AG6" s="15" t="s">
        <v>10</v>
      </c>
      <c r="AH6" s="14" t="s">
        <v>11</v>
      </c>
      <c r="AI6" s="14" t="s">
        <v>15</v>
      </c>
      <c r="AJ6" s="14" t="s">
        <v>16</v>
      </c>
      <c r="AK6" s="15" t="s">
        <v>1</v>
      </c>
      <c r="AL6" s="14" t="s">
        <v>18</v>
      </c>
      <c r="AM6" s="27" t="s">
        <v>3</v>
      </c>
      <c r="AN6" s="28" t="s">
        <v>19</v>
      </c>
      <c r="AO6" s="15" t="s">
        <v>21</v>
      </c>
      <c r="AP6" s="14" t="s">
        <v>22</v>
      </c>
      <c r="AQ6" s="14" t="s">
        <v>20</v>
      </c>
      <c r="AR6" s="13" t="s">
        <v>5</v>
      </c>
      <c r="AS6" s="23" t="s">
        <v>43</v>
      </c>
    </row>
    <row r="7" spans="1:45" s="3" customFormat="1" ht="15" thickTop="1" x14ac:dyDescent="0.35">
      <c r="A7" s="8">
        <v>2001</v>
      </c>
      <c r="B7" s="19" t="s">
        <v>2</v>
      </c>
      <c r="C7" s="19" t="s">
        <v>2</v>
      </c>
      <c r="D7" s="17">
        <f t="shared" ref="D7:D21" si="0">D8/(1+B8)</f>
        <v>23.865125334827393</v>
      </c>
      <c r="E7" s="51"/>
      <c r="F7" s="17"/>
      <c r="G7" s="19"/>
      <c r="H7" s="19"/>
      <c r="I7" s="19"/>
      <c r="J7" s="19"/>
      <c r="K7" s="51"/>
      <c r="L7" s="19"/>
      <c r="M7" s="60"/>
      <c r="N7" s="41"/>
      <c r="O7" s="41"/>
      <c r="P7" s="51"/>
      <c r="Q7" s="50"/>
      <c r="R7" s="41"/>
      <c r="S7" s="41"/>
      <c r="T7" s="41"/>
      <c r="U7" s="52"/>
      <c r="V7" s="52"/>
      <c r="W7" s="53"/>
      <c r="X7" s="52"/>
      <c r="Y7" s="52"/>
      <c r="Z7" s="52"/>
      <c r="AA7" s="52"/>
      <c r="AB7" s="52"/>
      <c r="AC7" s="52"/>
      <c r="AD7" s="52"/>
      <c r="AE7" s="52"/>
      <c r="AF7" s="52"/>
      <c r="AG7" s="54"/>
      <c r="AH7" s="55"/>
      <c r="AI7" s="52"/>
      <c r="AJ7" s="55"/>
      <c r="AK7" s="51"/>
      <c r="AL7" s="50"/>
      <c r="AM7" s="50"/>
      <c r="AN7" s="56"/>
      <c r="AO7" s="57"/>
      <c r="AP7" s="41"/>
      <c r="AQ7" s="41"/>
      <c r="AR7" s="58"/>
      <c r="AS7" s="59"/>
    </row>
    <row r="8" spans="1:45" s="3" customFormat="1" x14ac:dyDescent="0.35">
      <c r="A8" s="8">
        <v>2002</v>
      </c>
      <c r="B8" s="19">
        <v>-0.10100000000000001</v>
      </c>
      <c r="C8" s="19">
        <f>Table2[[#This Row],[Annual investment returns]]</f>
        <v>-0.10100000000000001</v>
      </c>
      <c r="D8" s="17">
        <f t="shared" si="0"/>
        <v>21.454747676009827</v>
      </c>
      <c r="E8" s="51"/>
      <c r="F8" s="17"/>
      <c r="G8" s="19"/>
      <c r="H8" s="19"/>
      <c r="I8" s="19"/>
      <c r="J8" s="19"/>
      <c r="K8" s="51"/>
      <c r="L8" s="19"/>
      <c r="M8" s="60"/>
      <c r="N8" s="41"/>
      <c r="O8" s="41"/>
      <c r="P8" s="51"/>
      <c r="Q8" s="50"/>
      <c r="R8" s="41"/>
      <c r="S8" s="41"/>
      <c r="T8" s="41"/>
      <c r="U8" s="52"/>
      <c r="V8" s="52"/>
      <c r="W8" s="53"/>
      <c r="X8" s="52"/>
      <c r="Y8" s="52"/>
      <c r="Z8" s="52"/>
      <c r="AA8" s="52"/>
      <c r="AB8" s="52"/>
      <c r="AC8" s="52"/>
      <c r="AD8" s="52"/>
      <c r="AE8" s="52"/>
      <c r="AF8" s="52"/>
      <c r="AG8" s="54"/>
      <c r="AH8" s="55"/>
      <c r="AI8" s="52"/>
      <c r="AJ8" s="55"/>
      <c r="AK8" s="51"/>
      <c r="AL8" s="50"/>
      <c r="AM8" s="50"/>
      <c r="AN8" s="56"/>
      <c r="AO8" s="57"/>
      <c r="AP8" s="41"/>
      <c r="AQ8" s="41"/>
      <c r="AR8" s="58"/>
      <c r="AS8" s="59"/>
    </row>
    <row r="9" spans="1:45" s="3" customFormat="1" x14ac:dyDescent="0.35">
      <c r="A9" s="8">
        <v>2003</v>
      </c>
      <c r="B9" s="19">
        <v>-0.16700000000000001</v>
      </c>
      <c r="C9" s="19">
        <f>(1+C8)*(1+B9)-1</f>
        <v>-0.25113300000000005</v>
      </c>
      <c r="D9" s="17">
        <f t="shared" si="0"/>
        <v>17.871804814116185</v>
      </c>
      <c r="E9" s="51"/>
      <c r="F9" s="17"/>
      <c r="G9" s="19"/>
      <c r="H9" s="19"/>
      <c r="I9" s="19"/>
      <c r="J9" s="19"/>
      <c r="K9" s="51"/>
      <c r="L9" s="19"/>
      <c r="M9" s="60"/>
      <c r="N9" s="41"/>
      <c r="O9" s="41"/>
      <c r="P9" s="51"/>
      <c r="Q9" s="50"/>
      <c r="R9" s="41"/>
      <c r="S9" s="41"/>
      <c r="T9" s="41"/>
      <c r="U9" s="52"/>
      <c r="V9" s="52"/>
      <c r="W9" s="53"/>
      <c r="X9" s="52"/>
      <c r="Y9" s="52"/>
      <c r="Z9" s="52"/>
      <c r="AA9" s="52"/>
      <c r="AB9" s="52"/>
      <c r="AC9" s="52"/>
      <c r="AD9" s="52"/>
      <c r="AE9" s="52"/>
      <c r="AF9" s="52"/>
      <c r="AG9" s="54"/>
      <c r="AH9" s="55"/>
      <c r="AI9" s="52"/>
      <c r="AJ9" s="55"/>
      <c r="AK9" s="51"/>
      <c r="AL9" s="50"/>
      <c r="AM9" s="50"/>
      <c r="AN9" s="56"/>
      <c r="AO9" s="57"/>
      <c r="AP9" s="41"/>
      <c r="AQ9" s="41"/>
      <c r="AR9" s="58"/>
      <c r="AS9" s="59"/>
    </row>
    <row r="10" spans="1:45" s="3" customFormat="1" x14ac:dyDescent="0.35">
      <c r="A10" s="8">
        <v>2004</v>
      </c>
      <c r="B10" s="19">
        <v>0.182</v>
      </c>
      <c r="C10" s="19">
        <f t="shared" ref="C10:C23" si="1">(1+C9)*(1+B10)-1</f>
        <v>-0.11483920600000008</v>
      </c>
      <c r="D10" s="17">
        <f t="shared" si="0"/>
        <v>21.12447329028533</v>
      </c>
      <c r="E10" s="51"/>
      <c r="F10" s="17"/>
      <c r="G10" s="19"/>
      <c r="H10" s="19"/>
      <c r="I10" s="19"/>
      <c r="J10" s="19"/>
      <c r="K10" s="51"/>
      <c r="L10" s="19"/>
      <c r="M10" s="60"/>
      <c r="N10" s="41"/>
      <c r="O10" s="41"/>
      <c r="P10" s="51"/>
      <c r="Q10" s="50"/>
      <c r="R10" s="41"/>
      <c r="S10" s="41"/>
      <c r="T10" s="41"/>
      <c r="U10" s="52"/>
      <c r="V10" s="52"/>
      <c r="W10" s="53"/>
      <c r="X10" s="52"/>
      <c r="Y10" s="52"/>
      <c r="Z10" s="52"/>
      <c r="AA10" s="52"/>
      <c r="AB10" s="52"/>
      <c r="AC10" s="52"/>
      <c r="AD10" s="52"/>
      <c r="AE10" s="52"/>
      <c r="AF10" s="52"/>
      <c r="AG10" s="54"/>
      <c r="AH10" s="55"/>
      <c r="AI10" s="52"/>
      <c r="AJ10" s="55"/>
      <c r="AK10" s="51"/>
      <c r="AL10" s="50"/>
      <c r="AM10" s="50"/>
      <c r="AN10" s="56"/>
      <c r="AO10" s="57"/>
      <c r="AP10" s="41"/>
      <c r="AQ10" s="41"/>
      <c r="AR10" s="58"/>
      <c r="AS10" s="59"/>
    </row>
    <row r="11" spans="1:45" s="3" customFormat="1" x14ac:dyDescent="0.35">
      <c r="A11" s="8">
        <v>2005</v>
      </c>
      <c r="B11" s="19">
        <v>8.8999999999999996E-2</v>
      </c>
      <c r="C11" s="19">
        <f t="shared" si="1"/>
        <v>-3.6059895334000114E-2</v>
      </c>
      <c r="D11" s="17">
        <f t="shared" si="0"/>
        <v>23.004551413120723</v>
      </c>
      <c r="E11" s="51"/>
      <c r="F11" s="17"/>
      <c r="G11" s="19"/>
      <c r="H11" s="19"/>
      <c r="I11" s="19"/>
      <c r="J11" s="19"/>
      <c r="K11" s="51"/>
      <c r="L11" s="19"/>
      <c r="M11" s="60"/>
      <c r="N11" s="41"/>
      <c r="O11" s="41"/>
      <c r="P11" s="51"/>
      <c r="Q11" s="50"/>
      <c r="R11" s="41"/>
      <c r="S11" s="41"/>
      <c r="T11" s="41"/>
      <c r="U11" s="52"/>
      <c r="V11" s="52"/>
      <c r="W11" s="53"/>
      <c r="X11" s="52"/>
      <c r="Y11" s="52"/>
      <c r="Z11" s="52"/>
      <c r="AA11" s="52"/>
      <c r="AB11" s="52"/>
      <c r="AC11" s="52"/>
      <c r="AD11" s="52"/>
      <c r="AE11" s="52"/>
      <c r="AF11" s="52"/>
      <c r="AG11" s="54"/>
      <c r="AH11" s="55"/>
      <c r="AI11" s="52"/>
      <c r="AJ11" s="55"/>
      <c r="AK11" s="51"/>
      <c r="AL11" s="50"/>
      <c r="AM11" s="50"/>
      <c r="AN11" s="56"/>
      <c r="AO11" s="57"/>
      <c r="AP11" s="41"/>
      <c r="AQ11" s="41"/>
      <c r="AR11" s="58"/>
      <c r="AS11" s="59"/>
    </row>
    <row r="12" spans="1:45" s="3" customFormat="1" x14ac:dyDescent="0.35">
      <c r="A12" s="8">
        <v>2006</v>
      </c>
      <c r="B12" s="19">
        <v>0.24</v>
      </c>
      <c r="C12" s="19">
        <f t="shared" si="1"/>
        <v>0.19528572978583991</v>
      </c>
      <c r="D12" s="17">
        <f t="shared" si="0"/>
        <v>28.525643752269698</v>
      </c>
      <c r="E12" s="51"/>
      <c r="F12" s="17"/>
      <c r="G12" s="19"/>
      <c r="H12" s="19"/>
      <c r="I12" s="19"/>
      <c r="J12" s="19"/>
      <c r="K12" s="51"/>
      <c r="L12" s="19"/>
      <c r="M12" s="60"/>
      <c r="N12" s="41"/>
      <c r="O12" s="41"/>
      <c r="P12" s="51"/>
      <c r="Q12" s="50"/>
      <c r="R12" s="41"/>
      <c r="S12" s="41"/>
      <c r="T12" s="41"/>
      <c r="U12" s="52"/>
      <c r="V12" s="52"/>
      <c r="W12" s="53"/>
      <c r="X12" s="52"/>
      <c r="Y12" s="52"/>
      <c r="Z12" s="52"/>
      <c r="AA12" s="52"/>
      <c r="AB12" s="52"/>
      <c r="AC12" s="52"/>
      <c r="AD12" s="52"/>
      <c r="AE12" s="52"/>
      <c r="AF12" s="52"/>
      <c r="AG12" s="54"/>
      <c r="AH12" s="55"/>
      <c r="AI12" s="52"/>
      <c r="AJ12" s="55"/>
      <c r="AK12" s="51"/>
      <c r="AL12" s="50"/>
      <c r="AM12" s="50"/>
      <c r="AN12" s="56"/>
      <c r="AO12" s="57"/>
      <c r="AP12" s="41"/>
      <c r="AQ12" s="41"/>
      <c r="AR12" s="58"/>
      <c r="AS12" s="59"/>
    </row>
    <row r="13" spans="1:45" s="3" customFormat="1" x14ac:dyDescent="0.35">
      <c r="A13" s="8">
        <v>2007</v>
      </c>
      <c r="B13" s="19">
        <v>9.9000000000000005E-2</v>
      </c>
      <c r="C13" s="19">
        <f t="shared" si="1"/>
        <v>0.31361901703463801</v>
      </c>
      <c r="D13" s="17">
        <f t="shared" si="0"/>
        <v>31.349682483744399</v>
      </c>
      <c r="E13" s="51"/>
      <c r="F13" s="17"/>
      <c r="G13" s="19"/>
      <c r="H13" s="19"/>
      <c r="I13" s="19"/>
      <c r="J13" s="19"/>
      <c r="K13" s="51"/>
      <c r="L13" s="19"/>
      <c r="M13" s="60"/>
      <c r="N13" s="41"/>
      <c r="O13" s="41"/>
      <c r="P13" s="51"/>
      <c r="Q13" s="50"/>
      <c r="R13" s="41"/>
      <c r="S13" s="41"/>
      <c r="T13" s="41"/>
      <c r="U13" s="52"/>
      <c r="V13" s="52"/>
      <c r="W13" s="53"/>
      <c r="X13" s="52"/>
      <c r="Y13" s="52"/>
      <c r="Z13" s="52"/>
      <c r="AA13" s="52"/>
      <c r="AB13" s="52"/>
      <c r="AC13" s="52"/>
      <c r="AD13" s="52"/>
      <c r="AE13" s="52"/>
      <c r="AF13" s="52"/>
      <c r="AG13" s="54"/>
      <c r="AH13" s="55"/>
      <c r="AI13" s="52"/>
      <c r="AJ13" s="55"/>
      <c r="AK13" s="51"/>
      <c r="AL13" s="50"/>
      <c r="AM13" s="50"/>
      <c r="AN13" s="56"/>
      <c r="AO13" s="57"/>
      <c r="AP13" s="41"/>
      <c r="AQ13" s="41"/>
      <c r="AR13" s="58"/>
      <c r="AS13" s="59"/>
    </row>
    <row r="14" spans="1:45" s="3" customFormat="1" x14ac:dyDescent="0.35">
      <c r="A14" s="8">
        <v>2008</v>
      </c>
      <c r="B14" s="19">
        <v>7.4999999999999997E-2</v>
      </c>
      <c r="C14" s="19">
        <f t="shared" si="1"/>
        <v>0.41214044331223576</v>
      </c>
      <c r="D14" s="17">
        <f t="shared" si="0"/>
        <v>33.700908670025228</v>
      </c>
      <c r="E14" s="51" t="s">
        <v>2</v>
      </c>
      <c r="F14" s="17">
        <f>Table2[[#This Row],[Equivalent value of 2017 assets]]</f>
        <v>33.700908670025228</v>
      </c>
      <c r="G14" s="19"/>
      <c r="H14" s="19"/>
      <c r="I14" s="19"/>
      <c r="J14" s="19"/>
      <c r="K14" s="51"/>
      <c r="L14" s="19"/>
      <c r="M14" s="60"/>
      <c r="N14" s="41"/>
      <c r="O14" s="41"/>
      <c r="P14" s="51"/>
      <c r="Q14" s="50"/>
      <c r="R14" s="41"/>
      <c r="S14" s="41"/>
      <c r="T14" s="41"/>
      <c r="U14" s="52"/>
      <c r="V14" s="52"/>
      <c r="W14" s="53"/>
      <c r="X14" s="52"/>
      <c r="Y14" s="52"/>
      <c r="Z14" s="52"/>
      <c r="AA14" s="52"/>
      <c r="AB14" s="52"/>
      <c r="AC14" s="52"/>
      <c r="AD14" s="52"/>
      <c r="AE14" s="52"/>
      <c r="AF14" s="52"/>
      <c r="AG14" s="54"/>
      <c r="AH14" s="55"/>
      <c r="AI14" s="52"/>
      <c r="AJ14" s="55"/>
      <c r="AK14" s="51"/>
      <c r="AL14" s="50"/>
      <c r="AM14" s="50"/>
      <c r="AN14" s="56"/>
      <c r="AO14" s="57"/>
      <c r="AP14" s="41"/>
      <c r="AQ14" s="41"/>
      <c r="AR14" s="58"/>
      <c r="AS14" s="59"/>
    </row>
    <row r="15" spans="1:45" s="3" customFormat="1" x14ac:dyDescent="0.35">
      <c r="A15" s="8">
        <v>2009</v>
      </c>
      <c r="B15" s="19">
        <v>-0.27200000000000002</v>
      </c>
      <c r="C15" s="19">
        <f t="shared" si="1"/>
        <v>2.8038242731307506E-2</v>
      </c>
      <c r="D15" s="17">
        <f t="shared" si="0"/>
        <v>24.534261511778368</v>
      </c>
      <c r="E15" s="40">
        <v>6.0999999999999999E-2</v>
      </c>
      <c r="F15" s="17">
        <f>F14*(1+Table2[[#This Row],[2008 discount rate]])</f>
        <v>35.756664098896763</v>
      </c>
      <c r="G15" s="19"/>
      <c r="H15" s="19"/>
      <c r="I15" s="19"/>
      <c r="J15" s="19"/>
      <c r="K15" s="51"/>
      <c r="L15" s="19"/>
      <c r="M15" s="60"/>
      <c r="N15" s="41"/>
      <c r="O15" s="41"/>
      <c r="P15" s="51"/>
      <c r="Q15" s="50"/>
      <c r="R15" s="41"/>
      <c r="S15" s="41"/>
      <c r="T15" s="41"/>
      <c r="U15" s="52"/>
      <c r="V15" s="52"/>
      <c r="W15" s="53"/>
      <c r="X15" s="52"/>
      <c r="Y15" s="52"/>
      <c r="Z15" s="52"/>
      <c r="AA15" s="52"/>
      <c r="AB15" s="52"/>
      <c r="AC15" s="52"/>
      <c r="AD15" s="52"/>
      <c r="AE15" s="52"/>
      <c r="AF15" s="52"/>
      <c r="AG15" s="54"/>
      <c r="AH15" s="55"/>
      <c r="AI15" s="52"/>
      <c r="AJ15" s="55"/>
      <c r="AK15" s="51"/>
      <c r="AL15" s="50"/>
      <c r="AM15" s="50"/>
      <c r="AN15" s="56"/>
      <c r="AO15" s="57"/>
      <c r="AP15" s="41"/>
      <c r="AQ15" s="41"/>
      <c r="AR15" s="58"/>
      <c r="AS15" s="59"/>
    </row>
    <row r="16" spans="1:45" s="3" customFormat="1" x14ac:dyDescent="0.35">
      <c r="A16" s="8">
        <v>2010</v>
      </c>
      <c r="B16" s="19">
        <v>0.20699999999999999</v>
      </c>
      <c r="C16" s="19">
        <f t="shared" si="1"/>
        <v>0.24084215897668826</v>
      </c>
      <c r="D16" s="17">
        <f t="shared" si="0"/>
        <v>29.612853644716491</v>
      </c>
      <c r="E16" s="40">
        <v>6.0999999999999999E-2</v>
      </c>
      <c r="F16" s="17">
        <f>F15*(1+Table2[[#This Row],[2008 discount rate]])</f>
        <v>37.937820608929464</v>
      </c>
      <c r="G16" s="19"/>
      <c r="H16" s="19"/>
      <c r="I16" s="19"/>
      <c r="J16" s="19"/>
      <c r="K16" s="51"/>
      <c r="L16" s="19"/>
      <c r="M16" s="60"/>
      <c r="N16" s="41"/>
      <c r="O16" s="41"/>
      <c r="P16" s="51"/>
      <c r="Q16" s="50"/>
      <c r="R16" s="41"/>
      <c r="S16" s="41"/>
      <c r="T16" s="41"/>
      <c r="U16" s="52"/>
      <c r="V16" s="52"/>
      <c r="W16" s="53"/>
      <c r="X16" s="52"/>
      <c r="Y16" s="52"/>
      <c r="Z16" s="52"/>
      <c r="AA16" s="52"/>
      <c r="AB16" s="52"/>
      <c r="AC16" s="52"/>
      <c r="AD16" s="52"/>
      <c r="AE16" s="52"/>
      <c r="AF16" s="52"/>
      <c r="AG16" s="54"/>
      <c r="AH16" s="55"/>
      <c r="AI16" s="52"/>
      <c r="AJ16" s="55"/>
      <c r="AK16" s="51"/>
      <c r="AL16" s="50"/>
      <c r="AM16" s="50"/>
      <c r="AN16" s="56"/>
      <c r="AO16" s="57"/>
      <c r="AP16" s="41"/>
      <c r="AQ16" s="41"/>
      <c r="AR16" s="58"/>
      <c r="AS16" s="59"/>
    </row>
    <row r="17" spans="1:45" s="3" customFormat="1" x14ac:dyDescent="0.35">
      <c r="A17" s="8">
        <v>2011</v>
      </c>
      <c r="B17" s="19">
        <v>0.11700000000000001</v>
      </c>
      <c r="C17" s="19">
        <f t="shared" si="1"/>
        <v>0.38602069157696084</v>
      </c>
      <c r="D17" s="17">
        <f t="shared" si="0"/>
        <v>33.077557521148321</v>
      </c>
      <c r="E17" s="40">
        <v>6.0999999999999999E-2</v>
      </c>
      <c r="F17" s="17">
        <f>F16*(1+Table2[[#This Row],[2008 discount rate]])</f>
        <v>40.252027666074156</v>
      </c>
      <c r="G17" s="19" t="s">
        <v>2</v>
      </c>
      <c r="H17" s="17">
        <f>Table2[[#This Row],[Equivalent value of 2017 assets]]</f>
        <v>33.077557521148321</v>
      </c>
      <c r="I17" s="19"/>
      <c r="J17" s="41"/>
      <c r="K17" s="51"/>
      <c r="L17" s="19"/>
      <c r="M17" s="60"/>
      <c r="N17" s="41"/>
      <c r="O17" s="41"/>
      <c r="P17" s="51"/>
      <c r="Q17" s="50"/>
      <c r="R17" s="41"/>
      <c r="S17" s="41"/>
      <c r="T17" s="41"/>
      <c r="U17" s="52"/>
      <c r="V17" s="52"/>
      <c r="W17" s="53"/>
      <c r="X17" s="52"/>
      <c r="Y17" s="52"/>
      <c r="Z17" s="52"/>
      <c r="AA17" s="52"/>
      <c r="AB17" s="52"/>
      <c r="AC17" s="52"/>
      <c r="AD17" s="52"/>
      <c r="AE17" s="52"/>
      <c r="AF17" s="52"/>
      <c r="AG17" s="54"/>
      <c r="AH17" s="55"/>
      <c r="AI17" s="52"/>
      <c r="AJ17" s="55"/>
      <c r="AK17" s="51"/>
      <c r="AL17" s="50"/>
      <c r="AM17" s="50"/>
      <c r="AN17" s="56"/>
      <c r="AO17" s="57"/>
      <c r="AP17" s="41"/>
      <c r="AQ17" s="41"/>
      <c r="AR17" s="58"/>
      <c r="AS17" s="59"/>
    </row>
    <row r="18" spans="1:45" s="3" customFormat="1" x14ac:dyDescent="0.35">
      <c r="A18" s="8">
        <v>2012</v>
      </c>
      <c r="B18" s="19">
        <v>3.2000000000000002E-3</v>
      </c>
      <c r="C18" s="19">
        <f t="shared" si="1"/>
        <v>0.3904559577900073</v>
      </c>
      <c r="D18" s="17">
        <f t="shared" si="0"/>
        <v>33.183405705215996</v>
      </c>
      <c r="E18" s="40">
        <v>6.0999999999999999E-2</v>
      </c>
      <c r="F18" s="17">
        <f>F17*(1+Table2[[#This Row],[2008 discount rate]])</f>
        <v>42.707401353704675</v>
      </c>
      <c r="G18" s="19">
        <v>6.0999999999999999E-2</v>
      </c>
      <c r="H18" s="17">
        <f>H17*(1+Table2[[#This Row],[2011 discount rate]])</f>
        <v>35.095288529938365</v>
      </c>
      <c r="I18" s="41"/>
      <c r="J18" s="41"/>
      <c r="K18" s="40"/>
      <c r="L18" s="19"/>
      <c r="M18" s="60"/>
      <c r="N18" s="41"/>
      <c r="O18" s="41"/>
      <c r="P18" s="51"/>
      <c r="Q18" s="50"/>
      <c r="R18" s="41"/>
      <c r="S18" s="41"/>
      <c r="T18" s="41"/>
      <c r="U18" s="52"/>
      <c r="V18" s="52"/>
      <c r="W18" s="53"/>
      <c r="X18" s="52"/>
      <c r="Y18" s="52"/>
      <c r="Z18" s="52"/>
      <c r="AA18" s="52"/>
      <c r="AB18" s="52"/>
      <c r="AC18" s="52"/>
      <c r="AD18" s="52"/>
      <c r="AE18" s="52"/>
      <c r="AF18" s="52"/>
      <c r="AG18" s="54"/>
      <c r="AH18" s="55"/>
      <c r="AI18" s="52"/>
      <c r="AJ18" s="55"/>
      <c r="AK18" s="51"/>
      <c r="AL18" s="50"/>
      <c r="AM18" s="50"/>
      <c r="AN18" s="56"/>
      <c r="AO18" s="57"/>
      <c r="AP18" s="41"/>
      <c r="AQ18" s="41"/>
      <c r="AR18" s="58"/>
      <c r="AS18" s="59"/>
    </row>
    <row r="19" spans="1:45" s="3" customFormat="1" x14ac:dyDescent="0.35">
      <c r="A19" s="8">
        <v>2013</v>
      </c>
      <c r="B19" s="19">
        <v>0.114</v>
      </c>
      <c r="C19" s="19">
        <f t="shared" si="1"/>
        <v>0.54896793697806823</v>
      </c>
      <c r="D19" s="17">
        <f t="shared" si="0"/>
        <v>36.966313955610623</v>
      </c>
      <c r="E19" s="40">
        <v>6.0999999999999999E-2</v>
      </c>
      <c r="F19" s="17">
        <f>F18*(1+Table2[[#This Row],[2008 discount rate]])</f>
        <v>45.312552836280659</v>
      </c>
      <c r="G19" s="19">
        <v>6.0999999999999999E-2</v>
      </c>
      <c r="H19" s="17">
        <f>H18*(1+Table2[[#This Row],[2011 discount rate]])</f>
        <v>37.236101130264601</v>
      </c>
      <c r="I19" s="41"/>
      <c r="J19" s="41"/>
      <c r="K19" s="40"/>
      <c r="L19" s="19"/>
      <c r="M19" s="60"/>
      <c r="N19" s="41"/>
      <c r="O19" s="41"/>
      <c r="P19" s="51"/>
      <c r="Q19" s="50"/>
      <c r="R19" s="41"/>
      <c r="S19" s="41"/>
      <c r="T19" s="41"/>
      <c r="U19" s="52"/>
      <c r="V19" s="52"/>
      <c r="W19" s="53"/>
      <c r="X19" s="52"/>
      <c r="Y19" s="52"/>
      <c r="Z19" s="52"/>
      <c r="AA19" s="52"/>
      <c r="AB19" s="52"/>
      <c r="AC19" s="52"/>
      <c r="AD19" s="52"/>
      <c r="AE19" s="52"/>
      <c r="AF19" s="52"/>
      <c r="AG19" s="54"/>
      <c r="AH19" s="55"/>
      <c r="AI19" s="52"/>
      <c r="AJ19" s="55"/>
      <c r="AK19" s="51"/>
      <c r="AL19" s="50"/>
      <c r="AM19" s="50"/>
      <c r="AN19" s="56"/>
      <c r="AO19" s="57"/>
      <c r="AP19" s="41"/>
      <c r="AQ19" s="41"/>
      <c r="AR19" s="58"/>
      <c r="AS19" s="59"/>
    </row>
    <row r="20" spans="1:45" s="3" customFormat="1" x14ac:dyDescent="0.35">
      <c r="A20" s="8">
        <v>2014</v>
      </c>
      <c r="B20" s="19">
        <v>0.128</v>
      </c>
      <c r="C20" s="19">
        <f t="shared" si="1"/>
        <v>0.74723583291126117</v>
      </c>
      <c r="D20" s="17">
        <f t="shared" si="0"/>
        <v>41.698002141928789</v>
      </c>
      <c r="E20" s="40">
        <v>6.0999999999999999E-2</v>
      </c>
      <c r="F20" s="17">
        <f>F19*(1+Table2[[#This Row],[2008 discount rate]])</f>
        <v>48.076618559293777</v>
      </c>
      <c r="G20" s="19">
        <v>6.0999999999999999E-2</v>
      </c>
      <c r="H20" s="17">
        <f>H19*(1+Table2[[#This Row],[2011 discount rate]])</f>
        <v>39.50750329921074</v>
      </c>
      <c r="I20" s="41" t="s">
        <v>2</v>
      </c>
      <c r="J20" s="17">
        <f>Table2[[#This Row],[Equivalent value of 2017 assets]]</f>
        <v>41.698002141928789</v>
      </c>
      <c r="K20" s="40"/>
      <c r="L20" s="19"/>
      <c r="M20" s="60"/>
      <c r="N20" s="41"/>
      <c r="O20" s="41"/>
      <c r="P20" s="51"/>
      <c r="Q20" s="50"/>
      <c r="R20" s="41"/>
      <c r="S20" s="41"/>
      <c r="T20" s="41"/>
      <c r="U20" s="52"/>
      <c r="V20" s="52"/>
      <c r="W20" s="53"/>
      <c r="X20" s="52"/>
      <c r="Y20" s="52"/>
      <c r="Z20" s="52"/>
      <c r="AA20" s="52"/>
      <c r="AB20" s="52"/>
      <c r="AC20" s="52"/>
      <c r="AD20" s="52"/>
      <c r="AE20" s="52"/>
      <c r="AF20" s="52"/>
      <c r="AG20" s="54"/>
      <c r="AH20" s="55"/>
      <c r="AI20" s="52"/>
      <c r="AJ20" s="55"/>
      <c r="AK20" s="51"/>
      <c r="AL20" s="50"/>
      <c r="AM20" s="50"/>
      <c r="AN20" s="56"/>
      <c r="AO20" s="57"/>
      <c r="AP20" s="41"/>
      <c r="AQ20" s="41"/>
      <c r="AR20" s="58"/>
      <c r="AS20" s="59"/>
    </row>
    <row r="21" spans="1:45" s="3" customFormat="1" x14ac:dyDescent="0.35">
      <c r="A21" s="8">
        <v>2015</v>
      </c>
      <c r="B21" s="19">
        <v>0.17899999999999999</v>
      </c>
      <c r="C21" s="19">
        <f t="shared" si="1"/>
        <v>1.0599910470023768</v>
      </c>
      <c r="D21" s="17">
        <f t="shared" si="0"/>
        <v>49.161944525334043</v>
      </c>
      <c r="E21" s="40">
        <v>6.0999999999999999E-2</v>
      </c>
      <c r="F21" s="17">
        <f>F20*(1+Table2[[#This Row],[2008 discount rate]])</f>
        <v>51.009292291410695</v>
      </c>
      <c r="G21" s="19">
        <v>6.0999999999999999E-2</v>
      </c>
      <c r="H21" s="17">
        <f>H20*(1+Table2[[#This Row],[2011 discount rate]])</f>
        <v>41.917461000462595</v>
      </c>
      <c r="I21" s="19">
        <v>5.1999999999999998E-2</v>
      </c>
      <c r="J21" s="17">
        <f>J20*(1+Table2[[#This Row],[2014 discount rate]])</f>
        <v>43.86629825330909</v>
      </c>
      <c r="K21" s="40"/>
      <c r="L21" s="19"/>
      <c r="M21" s="60"/>
      <c r="N21" s="41"/>
      <c r="O21" s="41"/>
      <c r="P21" s="51"/>
      <c r="Q21" s="50"/>
      <c r="R21" s="41"/>
      <c r="S21" s="41"/>
      <c r="T21" s="41"/>
      <c r="U21" s="52"/>
      <c r="V21" s="52"/>
      <c r="W21" s="53"/>
      <c r="X21" s="52"/>
      <c r="Y21" s="52"/>
      <c r="Z21" s="52"/>
      <c r="AA21" s="52"/>
      <c r="AB21" s="52"/>
      <c r="AC21" s="52"/>
      <c r="AD21" s="52"/>
      <c r="AE21" s="52"/>
      <c r="AF21" s="52"/>
      <c r="AG21" s="54"/>
      <c r="AH21" s="55"/>
      <c r="AI21" s="52"/>
      <c r="AJ21" s="55"/>
      <c r="AK21" s="51"/>
      <c r="AL21" s="50"/>
      <c r="AM21" s="50"/>
      <c r="AN21" s="56"/>
      <c r="AO21" s="57"/>
      <c r="AP21" s="41"/>
      <c r="AQ21" s="41"/>
      <c r="AR21" s="58"/>
      <c r="AS21" s="59"/>
    </row>
    <row r="22" spans="1:45" s="3" customFormat="1" x14ac:dyDescent="0.35">
      <c r="A22" s="8">
        <v>2016</v>
      </c>
      <c r="B22" s="19">
        <v>1.6199999999999999E-2</v>
      </c>
      <c r="C22" s="19">
        <f t="shared" si="1"/>
        <v>1.0933629019638151</v>
      </c>
      <c r="D22" s="17">
        <f>D23/(1+B23)</f>
        <v>49.958368026644457</v>
      </c>
      <c r="E22" s="40">
        <v>6.0999999999999999E-2</v>
      </c>
      <c r="F22" s="17">
        <f>F21*(1+Table2[[#This Row],[2008 discount rate]])</f>
        <v>54.120859121186747</v>
      </c>
      <c r="G22" s="19">
        <v>6.0999999999999999E-2</v>
      </c>
      <c r="H22" s="17">
        <f>H21*(1+Table2[[#This Row],[2011 discount rate]])</f>
        <v>44.474426121490808</v>
      </c>
      <c r="I22" s="19">
        <v>5.1999999999999998E-2</v>
      </c>
      <c r="J22" s="17">
        <f>J21*(1+Table2[[#This Row],[2014 discount rate]])</f>
        <v>46.147345762481166</v>
      </c>
      <c r="K22" s="40"/>
      <c r="L22" s="19"/>
      <c r="M22" s="60"/>
      <c r="N22" s="41"/>
      <c r="O22" s="41"/>
      <c r="P22" s="51"/>
      <c r="Q22" s="50"/>
      <c r="R22" s="41"/>
      <c r="S22" s="41"/>
      <c r="T22" s="41"/>
      <c r="U22" s="52"/>
      <c r="V22" s="52"/>
      <c r="W22" s="53"/>
      <c r="X22" s="52"/>
      <c r="Y22" s="52"/>
      <c r="Z22" s="52"/>
      <c r="AA22" s="52"/>
      <c r="AB22" s="52"/>
      <c r="AC22" s="52"/>
      <c r="AD22" s="52"/>
      <c r="AE22" s="52"/>
      <c r="AF22" s="52"/>
      <c r="AG22" s="54"/>
      <c r="AH22" s="55"/>
      <c r="AI22" s="52"/>
      <c r="AJ22" s="55"/>
      <c r="AK22" s="51"/>
      <c r="AL22" s="50"/>
      <c r="AM22" s="50"/>
      <c r="AN22" s="56"/>
      <c r="AO22" s="57"/>
      <c r="AP22" s="41"/>
      <c r="AQ22" s="41"/>
      <c r="AR22" s="58"/>
      <c r="AS22" s="59"/>
    </row>
    <row r="23" spans="1:45" s="2" customFormat="1" x14ac:dyDescent="0.35">
      <c r="A23" s="8">
        <v>2017</v>
      </c>
      <c r="B23" s="19">
        <v>0.20100000000000001</v>
      </c>
      <c r="C23" s="19">
        <f t="shared" si="1"/>
        <v>1.5141288452585422</v>
      </c>
      <c r="D23" s="17">
        <v>60</v>
      </c>
      <c r="E23" s="40">
        <v>6.0999999999999999E-2</v>
      </c>
      <c r="F23" s="17">
        <f>F22*(1+Table2[[#This Row],[2008 discount rate]])</f>
        <v>57.422231527579136</v>
      </c>
      <c r="G23" s="19">
        <v>6.0999999999999999E-2</v>
      </c>
      <c r="H23" s="17">
        <f>H22*(1+Table2[[#This Row],[2011 discount rate]])</f>
        <v>47.187366114901742</v>
      </c>
      <c r="I23" s="19">
        <v>5.1999999999999998E-2</v>
      </c>
      <c r="J23" s="17">
        <f>J22*(1+Table2[[#This Row],[2014 discount rate]])</f>
        <v>48.547007742130191</v>
      </c>
      <c r="K23" s="40" t="s">
        <v>2</v>
      </c>
      <c r="L23" s="11" t="s">
        <v>2</v>
      </c>
      <c r="M23" s="17">
        <v>60</v>
      </c>
      <c r="N23" s="17">
        <f>Table2[[#This Row],[Asset growth A1]]</f>
        <v>60</v>
      </c>
      <c r="O23" s="17">
        <f>Table2[[#This Row],[Asset growth A1]]</f>
        <v>60</v>
      </c>
      <c r="P23" s="40" t="s">
        <v>2</v>
      </c>
      <c r="Q23" s="17" t="str">
        <f>P23</f>
        <v>-</v>
      </c>
      <c r="R23" s="17">
        <v>60</v>
      </c>
      <c r="S23" s="17">
        <f>Table2[[#This Row],[Asset growth A2]]</f>
        <v>60</v>
      </c>
      <c r="T23" s="17">
        <f>Table2[[#This Row],[Asset growth A1]]-Table2[[#This Row],[Asset growth A2]]</f>
        <v>0</v>
      </c>
      <c r="U23" s="17">
        <f>T23</f>
        <v>0</v>
      </c>
      <c r="V23" s="17" t="s">
        <v>2</v>
      </c>
      <c r="W23" s="9" t="s">
        <v>2</v>
      </c>
      <c r="X23" s="17">
        <v>60</v>
      </c>
      <c r="Y23" s="17">
        <f>Table2[[#This Row],[Asset growth B]]</f>
        <v>60</v>
      </c>
      <c r="Z23" s="17">
        <f>Table2[[#This Row],[Asset growth B]]</f>
        <v>60</v>
      </c>
      <c r="AA23" s="17">
        <f>X23-R23</f>
        <v>0</v>
      </c>
      <c r="AB23" s="17">
        <f>AA23</f>
        <v>0</v>
      </c>
      <c r="AC23" s="17" t="s">
        <v>2</v>
      </c>
      <c r="AD23" s="17">
        <f t="shared" ref="AD23:AD54" si="2">X23-R23</f>
        <v>0</v>
      </c>
      <c r="AE23" s="17">
        <f>AD23</f>
        <v>0</v>
      </c>
      <c r="AF23" s="17" t="s">
        <v>2</v>
      </c>
      <c r="AG23" s="9" t="s">
        <v>2</v>
      </c>
      <c r="AH23" s="17">
        <v>60</v>
      </c>
      <c r="AI23" s="17">
        <f t="shared" ref="AI23:AI54" si="3">AH23-M23</f>
        <v>0</v>
      </c>
      <c r="AJ23" s="41">
        <f>AI23</f>
        <v>0</v>
      </c>
      <c r="AK23" s="9" t="s">
        <v>2</v>
      </c>
      <c r="AL23" s="11" t="s">
        <v>2</v>
      </c>
      <c r="AM23" s="17" t="s">
        <v>2</v>
      </c>
      <c r="AN23" s="29" t="s">
        <v>2</v>
      </c>
      <c r="AO23" s="22">
        <v>10</v>
      </c>
      <c r="AP23" s="17">
        <v>13</v>
      </c>
      <c r="AQ23" s="17">
        <f>Table2[[#This Row],[Target reliance inflated with CPI]]</f>
        <v>10</v>
      </c>
      <c r="AR23" s="21">
        <f>AP23</f>
        <v>13</v>
      </c>
      <c r="AS23" s="24">
        <v>76.099999999999994</v>
      </c>
    </row>
    <row r="24" spans="1:45" x14ac:dyDescent="0.35">
      <c r="A24" s="8">
        <v>2018</v>
      </c>
      <c r="B24" s="61"/>
      <c r="C24" s="61"/>
      <c r="D24" s="61"/>
      <c r="E24" s="40">
        <v>6.0999999999999999E-2</v>
      </c>
      <c r="F24" s="17">
        <f>F23*(1+Table2[[#This Row],[2008 discount rate]])</f>
        <v>60.924987650761459</v>
      </c>
      <c r="G24" s="19">
        <v>6.0999999999999999E-2</v>
      </c>
      <c r="H24" s="17">
        <f>H23*(1+Table2[[#This Row],[2011 discount rate]])</f>
        <v>50.065795447910745</v>
      </c>
      <c r="I24" s="19">
        <v>5.1999999999999998E-2</v>
      </c>
      <c r="J24" s="17">
        <f>J23*(1+Table2[[#This Row],[2014 discount rate]])</f>
        <v>51.071452144720965</v>
      </c>
      <c r="K24" s="10">
        <v>0.02</v>
      </c>
      <c r="L24" s="19">
        <f>K24</f>
        <v>0.02</v>
      </c>
      <c r="M24" s="18">
        <f>M23*(1+K24)</f>
        <v>61.2</v>
      </c>
      <c r="N24" s="18">
        <f>Table2[[#This Row],[Asset growth A1]]/(1+Table2[[#This Row],[Compounded CPI]])</f>
        <v>59.689846874085632</v>
      </c>
      <c r="O24" s="18">
        <f>O23*(1+Table2[[#This Row],[Discount rate A1]])+0.5*(1+Table2[[#This Row],[Compounded salary growth]])</f>
        <v>61.712650000000004</v>
      </c>
      <c r="P24" s="10">
        <f>Table2[[#This Row],[CPI]]-0.53%</f>
        <v>0.02</v>
      </c>
      <c r="Q24" s="19">
        <f>P24</f>
        <v>0.02</v>
      </c>
      <c r="R24" s="18">
        <f t="shared" ref="R24:R55" si="4">R23*(1+P24)</f>
        <v>61.2</v>
      </c>
      <c r="S24" s="18">
        <f>Table2[[#This Row],[Asset growth A2]]/(1+Table2[Compounded CPI])</f>
        <v>59.689846874085632</v>
      </c>
      <c r="T24" s="17">
        <f>Table2[[#This Row],[Asset growth A1]]-Table2[[#This Row],[Asset growth A2]]</f>
        <v>0</v>
      </c>
      <c r="U24" s="17">
        <f t="shared" ref="U24:U55" si="5">T24/(1+L24)</f>
        <v>0</v>
      </c>
      <c r="V24" s="17">
        <f>Table2[[#This Row],[Difference in assets (A2 - A1)]]/(1+Table2[[#This Row],[Compounded CPI]])</f>
        <v>0</v>
      </c>
      <c r="W24" s="40">
        <f t="shared" ref="W24:W33" si="6">AK24-0.53%</f>
        <v>0.02</v>
      </c>
      <c r="X24" s="17">
        <f t="shared" ref="X24:X55" si="7">X23*(1+W24)</f>
        <v>61.2</v>
      </c>
      <c r="Y24" s="17">
        <f>Table2[[#This Row],[Asset growth B]]/(1+Table2[Compounded CPI])</f>
        <v>59.689846874085632</v>
      </c>
      <c r="Z24" s="17">
        <f>Z23*(1+Table2[[#This Row],[Discount rate B]])+0.5*(1+Table2[[#This Row],[Compounded salary growth]])</f>
        <v>61.712650000000004</v>
      </c>
      <c r="AA24" s="17">
        <f t="shared" ref="AA24:AA55" si="8">X24-M24</f>
        <v>0</v>
      </c>
      <c r="AB24" s="17">
        <f t="shared" ref="AB24:AB55" si="9">AA24/(1+L24)</f>
        <v>0</v>
      </c>
      <c r="AC24" s="17">
        <f>Table2[[#This Row],[Difference in assets (B - A1)]]/(1+Table2[[#This Row],[Compounded CPI]])</f>
        <v>0</v>
      </c>
      <c r="AD24" s="17">
        <f t="shared" si="2"/>
        <v>0</v>
      </c>
      <c r="AE24" s="17">
        <f t="shared" ref="AE24:AE55" si="10">AD24/(1+Q24)</f>
        <v>0</v>
      </c>
      <c r="AF24" s="17">
        <f>Table2[[#This Row],[Difference in assets (B - A2)]]/(1+Table2[[#This Row],[Compounded CPI]])</f>
        <v>0</v>
      </c>
      <c r="AG24" s="40">
        <v>0.02</v>
      </c>
      <c r="AH24" s="17">
        <f>AH23*(1+AG24)</f>
        <v>61.2</v>
      </c>
      <c r="AI24" s="17">
        <f t="shared" si="3"/>
        <v>0</v>
      </c>
      <c r="AJ24" s="41">
        <f t="shared" ref="AJ24:AJ55" si="11">AI24/(1+L24)</f>
        <v>0</v>
      </c>
      <c r="AK24" s="10">
        <v>2.53E-2</v>
      </c>
      <c r="AL24" s="12">
        <f>Table2[[#This Row],[CPI]]</f>
        <v>2.53E-2</v>
      </c>
      <c r="AM24" s="12">
        <f>AK24</f>
        <v>2.53E-2</v>
      </c>
      <c r="AN24" s="30">
        <f>Table2[[#This Row],[Salary growth]]</f>
        <v>2.53E-2</v>
      </c>
      <c r="AO24" s="16">
        <f t="shared" ref="AO24:AO55" si="12">AO23*(1+AK24)</f>
        <v>10.253</v>
      </c>
      <c r="AP24" s="18">
        <f t="shared" ref="AP24:AP55" si="13">AP23*(1+AK24)</f>
        <v>13.328900000000001</v>
      </c>
      <c r="AQ24" s="18">
        <f>AQ23*(1+Table2[[#This Row],[Salary growth]])</f>
        <v>10.253</v>
      </c>
      <c r="AR24" s="20">
        <f t="shared" ref="AR24:AR55" si="14">AR23*(1+AM24)</f>
        <v>13.328900000000001</v>
      </c>
      <c r="AS24" s="25">
        <f t="shared" ref="AS24:AS55" si="15">AS23*(1+P24)</f>
        <v>77.622</v>
      </c>
    </row>
    <row r="25" spans="1:45" x14ac:dyDescent="0.35">
      <c r="A25" s="8">
        <v>2019</v>
      </c>
      <c r="B25" s="61"/>
      <c r="C25" s="61"/>
      <c r="D25" s="61"/>
      <c r="E25" s="40">
        <v>6.0999999999999999E-2</v>
      </c>
      <c r="F25" s="17">
        <f>F24*(1+Table2[[#This Row],[2008 discount rate]])</f>
        <v>64.6414118974579</v>
      </c>
      <c r="G25" s="19">
        <v>6.0999999999999999E-2</v>
      </c>
      <c r="H25" s="17">
        <f>H24*(1+Table2[[#This Row],[2011 discount rate]])</f>
        <v>53.119808970233294</v>
      </c>
      <c r="I25" s="19">
        <v>5.1999999999999998E-2</v>
      </c>
      <c r="J25" s="17">
        <f>J24*(1+Table2[[#This Row],[2014 discount rate]])</f>
        <v>53.727167656246458</v>
      </c>
      <c r="K25" s="10">
        <v>7.4000000000000003E-3</v>
      </c>
      <c r="L25" s="19">
        <f>(1+L24)*(1+K25)-1</f>
        <v>2.7548000000000128E-2</v>
      </c>
      <c r="M25" s="18">
        <f t="shared" ref="M25:M55" si="16">M24*(1+K25)</f>
        <v>61.65288000000001</v>
      </c>
      <c r="N25" s="18">
        <f>Table2[[#This Row],[Asset growth A1]]/(1+Table2[[#This Row],[Compounded CPI]])</f>
        <v>59.377458024048465</v>
      </c>
      <c r="O25" s="18">
        <f>O24*(1+Table2[[#This Row],[Discount rate A1]])+0.5*(1+Table2[[#This Row],[Compounded salary growth]])</f>
        <v>62.69361076500001</v>
      </c>
      <c r="P25" s="10">
        <f>Table2[[#This Row],[CPI]]-0.53%-1*0.088%</f>
        <v>6.5199999999999998E-3</v>
      </c>
      <c r="Q25" s="19">
        <f t="shared" ref="Q25:Q56" si="17">(1+Q24)*(1+P25)-1</f>
        <v>2.6650400000000074E-2</v>
      </c>
      <c r="R25" s="18">
        <f t="shared" si="4"/>
        <v>61.599024000000007</v>
      </c>
      <c r="S25" s="18">
        <f>Table2[[#This Row],[Asset growth A2]]/(1+Table2[Compounded CPI])</f>
        <v>59.325589686683799</v>
      </c>
      <c r="T25" s="17">
        <f>Table2[[#This Row],[Asset growth A1]]-Table2[[#This Row],[Asset growth A2]]</f>
        <v>5.3856000000003235E-2</v>
      </c>
      <c r="U25" s="17">
        <f t="shared" si="5"/>
        <v>5.2412150089342031E-2</v>
      </c>
      <c r="V25" s="17">
        <f>Table2[[#This Row],[Difference in assets (A2 - A1)]]/(1+Table2[[#This Row],[Compounded CPI]])</f>
        <v>5.1868337364667241E-2</v>
      </c>
      <c r="W25" s="40">
        <f t="shared" si="6"/>
        <v>7.3999999999999995E-3</v>
      </c>
      <c r="X25" s="17">
        <f t="shared" si="7"/>
        <v>61.65288000000001</v>
      </c>
      <c r="Y25" s="17">
        <f>Table2[[#This Row],[Asset growth B]]/(1+Table2[Compounded CPI])</f>
        <v>59.377458024048465</v>
      </c>
      <c r="Z25" s="17">
        <f>Z24*(1+Table2[[#This Row],[Discount rate B]])+0.5*(1+Table2[[#This Row],[Compounded salary growth]])</f>
        <v>62.69361076500001</v>
      </c>
      <c r="AA25" s="17">
        <f t="shared" si="8"/>
        <v>0</v>
      </c>
      <c r="AB25" s="17">
        <f t="shared" si="9"/>
        <v>0</v>
      </c>
      <c r="AC25" s="17">
        <f>Table2[[#This Row],[Difference in assets (B - A1)]]/(1+Table2[[#This Row],[Compounded CPI]])</f>
        <v>0</v>
      </c>
      <c r="AD25" s="17">
        <f t="shared" si="2"/>
        <v>5.3856000000003235E-2</v>
      </c>
      <c r="AE25" s="17">
        <f t="shared" si="10"/>
        <v>5.2457974009461478E-2</v>
      </c>
      <c r="AF25" s="17">
        <f>Table2[[#This Row],[Difference in assets (B - A2)]]/(1+Table2[[#This Row],[Compounded CPI]])</f>
        <v>5.1868337364667241E-2</v>
      </c>
      <c r="AG25" s="40">
        <v>7.4000000000000003E-3</v>
      </c>
      <c r="AH25" s="17">
        <f t="shared" ref="AH25:AH73" si="18">AH24*(1+AG25)</f>
        <v>61.65288000000001</v>
      </c>
      <c r="AI25" s="17">
        <f t="shared" si="3"/>
        <v>0</v>
      </c>
      <c r="AJ25" s="41">
        <f t="shared" si="11"/>
        <v>0</v>
      </c>
      <c r="AK25" s="10">
        <v>1.2699999999999999E-2</v>
      </c>
      <c r="AL25" s="12">
        <f>(1+Table2[[#This Row],[CPI]])*(1+AL24)-1</f>
        <v>3.8321309999999942E-2</v>
      </c>
      <c r="AM25" s="12">
        <f>AK25+1%</f>
        <v>2.2699999999999998E-2</v>
      </c>
      <c r="AN25" s="30">
        <f>(1+Table2[[#This Row],[Salary growth]])*(1+AN24)-1</f>
        <v>4.8574310000000009E-2</v>
      </c>
      <c r="AO25" s="16">
        <f t="shared" si="12"/>
        <v>10.383213099999999</v>
      </c>
      <c r="AP25" s="18">
        <f t="shared" si="13"/>
        <v>13.498177030000001</v>
      </c>
      <c r="AQ25" s="18">
        <f>AQ24*(1+Table2[[#This Row],[Salary growth]])</f>
        <v>10.485743099999999</v>
      </c>
      <c r="AR25" s="20">
        <f t="shared" si="14"/>
        <v>13.63146603</v>
      </c>
      <c r="AS25" s="25">
        <f t="shared" si="15"/>
        <v>78.12809544000001</v>
      </c>
    </row>
    <row r="26" spans="1:45" x14ac:dyDescent="0.35">
      <c r="A26" s="8">
        <v>2020</v>
      </c>
      <c r="B26" s="61"/>
      <c r="C26" s="61"/>
      <c r="D26" s="61"/>
      <c r="E26" s="40">
        <v>6.0999999999999999E-2</v>
      </c>
      <c r="F26" s="17">
        <f>F25*(1+Table2[[#This Row],[2008 discount rate]])</f>
        <v>68.584538023202825</v>
      </c>
      <c r="G26" s="19">
        <v>6.0999999999999999E-2</v>
      </c>
      <c r="H26" s="17">
        <f>H25*(1+Table2[[#This Row],[2011 discount rate]])</f>
        <v>56.360117317417519</v>
      </c>
      <c r="I26" s="19">
        <v>5.1999999999999998E-2</v>
      </c>
      <c r="J26" s="17">
        <f>J25*(1+Table2[[#This Row],[2014 discount rate]])</f>
        <v>56.520980374371277</v>
      </c>
      <c r="K26" s="10">
        <v>7.3000000000000001E-3</v>
      </c>
      <c r="L26" s="19">
        <f t="shared" ref="L26:L73" si="19">(1+L25)*(1+K26)-1</f>
        <v>3.5049100400000199E-2</v>
      </c>
      <c r="M26" s="18">
        <f t="shared" si="16"/>
        <v>62.102946024000019</v>
      </c>
      <c r="N26" s="18">
        <f>Table2[[#This Row],[Asset growth A1]]/(1+Table2[[#This Row],[Compounded CPI]])</f>
        <v>59.066673382998253</v>
      </c>
      <c r="O26" s="18">
        <f>O25*(1+Table2[[#This Row],[Discount rate A1]])+0.5*(1+Table2[[#This Row],[Compounded salary growth]])</f>
        <v>63.692653039837516</v>
      </c>
      <c r="P26" s="10">
        <f>Table2[[#This Row],[CPI]]-0.53%-2*0.088%</f>
        <v>5.5399999999999998E-3</v>
      </c>
      <c r="Q26" s="19">
        <f t="shared" si="17"/>
        <v>3.233804321600009E-2</v>
      </c>
      <c r="R26" s="18">
        <f t="shared" si="4"/>
        <v>61.94028259296001</v>
      </c>
      <c r="S26" s="18">
        <f>Table2[[#This Row],[Asset growth A2]]/(1+Table2[Compounded CPI])</f>
        <v>58.91196272323527</v>
      </c>
      <c r="T26" s="17">
        <f>Table2[[#This Row],[Asset growth A1]]-Table2[[#This Row],[Asset growth A2]]</f>
        <v>0.16266343104000924</v>
      </c>
      <c r="U26" s="17">
        <f t="shared" si="5"/>
        <v>0.15715527985788028</v>
      </c>
      <c r="V26" s="17">
        <f>Table2[[#This Row],[Difference in assets (A2 - A1)]]/(1+Table2[[#This Row],[Compounded CPI]])</f>
        <v>0.15471065976298495</v>
      </c>
      <c r="W26" s="40">
        <f t="shared" si="6"/>
        <v>7.3000000000000001E-3</v>
      </c>
      <c r="X26" s="17">
        <f t="shared" si="7"/>
        <v>62.102946024000019</v>
      </c>
      <c r="Y26" s="17">
        <f>Table2[[#This Row],[Asset growth B]]/(1+Table2[Compounded CPI])</f>
        <v>59.066673382998253</v>
      </c>
      <c r="Z26" s="17">
        <f>Z25*(1+Table2[[#This Row],[Discount rate B]])+0.5*(1+Table2[[#This Row],[Compounded salary growth]])</f>
        <v>63.692653039837516</v>
      </c>
      <c r="AA26" s="17">
        <f t="shared" si="8"/>
        <v>0</v>
      </c>
      <c r="AB26" s="17">
        <f t="shared" si="9"/>
        <v>0</v>
      </c>
      <c r="AC26" s="17">
        <f>Table2[[#This Row],[Difference in assets (B - A1)]]/(1+Table2[[#This Row],[Compounded CPI]])</f>
        <v>0</v>
      </c>
      <c r="AD26" s="17">
        <f t="shared" si="2"/>
        <v>0.16266343104000924</v>
      </c>
      <c r="AE26" s="17">
        <f t="shared" si="10"/>
        <v>0.15756799055207785</v>
      </c>
      <c r="AF26" s="17">
        <f>Table2[[#This Row],[Difference in assets (B - A2)]]/(1+Table2[[#This Row],[Compounded CPI]])</f>
        <v>0.15471065976298495</v>
      </c>
      <c r="AG26" s="40">
        <v>7.3000000000000001E-3</v>
      </c>
      <c r="AH26" s="17">
        <f t="shared" si="18"/>
        <v>62.102946024000019</v>
      </c>
      <c r="AI26" s="17">
        <f t="shared" si="3"/>
        <v>0</v>
      </c>
      <c r="AJ26" s="41">
        <f t="shared" si="11"/>
        <v>0</v>
      </c>
      <c r="AK26" s="10">
        <v>1.26E-2</v>
      </c>
      <c r="AL26" s="12">
        <f>(1+Table2[[#This Row],[CPI]])*(1+AL25)-1</f>
        <v>5.1404158505999886E-2</v>
      </c>
      <c r="AM26" s="12">
        <f t="shared" ref="AM26:AM73" si="20">AK26+2%</f>
        <v>3.2600000000000004E-2</v>
      </c>
      <c r="AN26" s="30">
        <f>(1+Table2[[#This Row],[Salary growth]])*(1+AN25)-1</f>
        <v>8.2757832505999884E-2</v>
      </c>
      <c r="AO26" s="16">
        <f t="shared" si="12"/>
        <v>10.514041585059998</v>
      </c>
      <c r="AP26" s="18">
        <f t="shared" si="13"/>
        <v>13.668254060578001</v>
      </c>
      <c r="AQ26" s="18">
        <f>AQ25*(1+Table2[[#This Row],[Salary growth]])</f>
        <v>10.827578325059998</v>
      </c>
      <c r="AR26" s="20">
        <f t="shared" si="14"/>
        <v>14.075851822578</v>
      </c>
      <c r="AS26" s="25">
        <f t="shared" si="15"/>
        <v>78.560925088737619</v>
      </c>
    </row>
    <row r="27" spans="1:45" x14ac:dyDescent="0.35">
      <c r="A27" s="8">
        <v>2021</v>
      </c>
      <c r="B27" s="61"/>
      <c r="C27" s="61"/>
      <c r="D27" s="61"/>
      <c r="E27" s="40">
        <v>6.0999999999999999E-2</v>
      </c>
      <c r="F27" s="17">
        <f>F26*(1+Table2[[#This Row],[2008 discount rate]])</f>
        <v>72.768194842618186</v>
      </c>
      <c r="G27" s="19">
        <v>6.0999999999999999E-2</v>
      </c>
      <c r="H27" s="17">
        <f>H26*(1+Table2[[#This Row],[2011 discount rate]])</f>
        <v>59.798084473779987</v>
      </c>
      <c r="I27" s="19">
        <v>5.1999999999999998E-2</v>
      </c>
      <c r="J27" s="17">
        <f>J26*(1+Table2[[#This Row],[2014 discount rate]])</f>
        <v>59.460071353838586</v>
      </c>
      <c r="K27" s="10">
        <v>8.8000000000000005E-3</v>
      </c>
      <c r="L27" s="19">
        <f t="shared" si="19"/>
        <v>4.4157532483520168E-2</v>
      </c>
      <c r="M27" s="18">
        <f t="shared" si="16"/>
        <v>62.649451949011215</v>
      </c>
      <c r="N27" s="18">
        <f>Table2[[#This Row],[Asset growth A1]]/(1+Table2[[#This Row],[Compounded CPI]])</f>
        <v>58.75797269378625</v>
      </c>
      <c r="O27" s="18">
        <f>O26*(1+Table2[[#This Row],[Discount rate A1]])+0.5*(1+Table2[[#This Row],[Compounded salary growth]])</f>
        <v>64.812988323885307</v>
      </c>
      <c r="P27" s="10">
        <f>Table2[[#This Row],[CPI]]-0.53%-3*0.088%</f>
        <v>6.1599999999999988E-3</v>
      </c>
      <c r="Q27" s="19">
        <f t="shared" si="17"/>
        <v>3.8697245562210547E-2</v>
      </c>
      <c r="R27" s="18">
        <f t="shared" si="4"/>
        <v>62.321834733732643</v>
      </c>
      <c r="S27" s="18">
        <f>Table2[[#This Row],[Asset growth A2]]/(1+Table2[Compounded CPI])</f>
        <v>58.450705466532291</v>
      </c>
      <c r="T27" s="17">
        <f>Table2[[#This Row],[Asset growth A1]]-Table2[[#This Row],[Asset growth A2]]</f>
        <v>0.3276172152785719</v>
      </c>
      <c r="U27" s="17">
        <f t="shared" si="5"/>
        <v>0.3137622485941724</v>
      </c>
      <c r="V27" s="17">
        <f>Table2[[#This Row],[Difference in assets (A2 - A1)]]/(1+Table2[[#This Row],[Compounded CPI]])</f>
        <v>0.30726722725395589</v>
      </c>
      <c r="W27" s="40">
        <f t="shared" si="6"/>
        <v>8.7999999999999988E-3</v>
      </c>
      <c r="X27" s="17">
        <f t="shared" si="7"/>
        <v>62.649451949011215</v>
      </c>
      <c r="Y27" s="17">
        <f>Table2[[#This Row],[Asset growth B]]/(1+Table2[Compounded CPI])</f>
        <v>58.75797269378625</v>
      </c>
      <c r="Z27" s="17">
        <f>Z26*(1+Table2[[#This Row],[Discount rate B]])+0.5*(1+Table2[[#This Row],[Compounded salary growth]])</f>
        <v>64.812988323885307</v>
      </c>
      <c r="AA27" s="17">
        <f t="shared" si="8"/>
        <v>0</v>
      </c>
      <c r="AB27" s="17">
        <f t="shared" si="9"/>
        <v>0</v>
      </c>
      <c r="AC27" s="17">
        <f>Table2[[#This Row],[Difference in assets (B - A1)]]/(1+Table2[[#This Row],[Compounded CPI]])</f>
        <v>0</v>
      </c>
      <c r="AD27" s="17">
        <f t="shared" si="2"/>
        <v>0.3276172152785719</v>
      </c>
      <c r="AE27" s="17">
        <f t="shared" si="10"/>
        <v>0.31541165308592317</v>
      </c>
      <c r="AF27" s="17">
        <f>Table2[[#This Row],[Difference in assets (B - A2)]]/(1+Table2[[#This Row],[Compounded CPI]])</f>
        <v>0.30726722725395589</v>
      </c>
      <c r="AG27" s="40">
        <v>8.8000000000000005E-3</v>
      </c>
      <c r="AH27" s="17">
        <f t="shared" si="18"/>
        <v>62.649451949011215</v>
      </c>
      <c r="AI27" s="17">
        <f t="shared" si="3"/>
        <v>0</v>
      </c>
      <c r="AJ27" s="41">
        <f t="shared" si="11"/>
        <v>0</v>
      </c>
      <c r="AK27" s="10">
        <v>1.41E-2</v>
      </c>
      <c r="AL27" s="12">
        <f>(1+Table2[[#This Row],[CPI]])*(1+AL26)-1</f>
        <v>6.6228957140934464E-2</v>
      </c>
      <c r="AM27" s="12">
        <f t="shared" si="20"/>
        <v>3.4099999999999998E-2</v>
      </c>
      <c r="AN27" s="30">
        <f>(1+Table2[[#This Row],[Salary growth]])*(1+AN26)-1</f>
        <v>0.11967987459445451</v>
      </c>
      <c r="AO27" s="16">
        <f t="shared" si="12"/>
        <v>10.662289571409344</v>
      </c>
      <c r="AP27" s="18">
        <f t="shared" si="13"/>
        <v>13.86097644283215</v>
      </c>
      <c r="AQ27" s="18">
        <f>AQ26*(1+Table2[[#This Row],[Salary growth]])</f>
        <v>11.196798745944543</v>
      </c>
      <c r="AR27" s="20">
        <f t="shared" si="14"/>
        <v>14.55583836972791</v>
      </c>
      <c r="AS27" s="25">
        <f t="shared" si="15"/>
        <v>79.044860387284245</v>
      </c>
    </row>
    <row r="28" spans="1:45" x14ac:dyDescent="0.35">
      <c r="A28" s="8">
        <v>2022</v>
      </c>
      <c r="B28" s="61"/>
      <c r="C28" s="61"/>
      <c r="D28" s="61"/>
      <c r="E28" s="40">
        <v>6.0999999999999999E-2</v>
      </c>
      <c r="F28" s="17">
        <f>F27*(1+Table2[[#This Row],[2008 discount rate]])</f>
        <v>77.207054728017894</v>
      </c>
      <c r="G28" s="19">
        <v>6.0999999999999999E-2</v>
      </c>
      <c r="H28" s="17">
        <f>H27*(1+Table2[[#This Row],[2011 discount rate]])</f>
        <v>63.445767626680563</v>
      </c>
      <c r="I28" s="19">
        <v>5.1999999999999998E-2</v>
      </c>
      <c r="J28" s="17">
        <f>J27*(1+Table2[[#This Row],[2014 discount rate]])</f>
        <v>62.551995064238199</v>
      </c>
      <c r="K28" s="10">
        <v>1.04E-2</v>
      </c>
      <c r="L28" s="19">
        <f t="shared" si="19"/>
        <v>5.5016770821348704E-2</v>
      </c>
      <c r="M28" s="18">
        <f t="shared" si="16"/>
        <v>63.301006249280931</v>
      </c>
      <c r="N28" s="18">
        <f>Table2[[#This Row],[Asset growth A1]]/(1+Table2[[#This Row],[Compounded CPI]])</f>
        <v>58.451369114700825</v>
      </c>
      <c r="O28" s="18">
        <f>O27*(1+Table2[[#This Row],[Discount rate A1]])+0.5*(1+Table2[[#This Row],[Compounded salary growth]])</f>
        <v>66.066869625512453</v>
      </c>
      <c r="P28" s="10">
        <f>Table2[[#This Row],[CPI]]-0.53%-4*0.088%</f>
        <v>6.8799999999999998E-3</v>
      </c>
      <c r="Q28" s="19">
        <f t="shared" si="17"/>
        <v>4.5843482611678477E-2</v>
      </c>
      <c r="R28" s="18">
        <f t="shared" si="4"/>
        <v>62.750608956700724</v>
      </c>
      <c r="S28" s="18">
        <f>Table2[[#This Row],[Asset growth A2]]/(1+Table2[Compounded CPI])</f>
        <v>57.943139037257104</v>
      </c>
      <c r="T28" s="17">
        <f>Table2[[#This Row],[Asset growth A1]]-Table2[[#This Row],[Asset growth A2]]</f>
        <v>0.55039729258020742</v>
      </c>
      <c r="U28" s="17">
        <f t="shared" si="5"/>
        <v>0.52169530172654377</v>
      </c>
      <c r="V28" s="17">
        <f>Table2[[#This Row],[Difference in assets (A2 - A1)]]/(1+Table2[[#This Row],[Compounded CPI]])</f>
        <v>0.50823007744372373</v>
      </c>
      <c r="W28" s="40">
        <f t="shared" si="6"/>
        <v>1.04E-2</v>
      </c>
      <c r="X28" s="17">
        <f t="shared" si="7"/>
        <v>63.301006249280931</v>
      </c>
      <c r="Y28" s="17">
        <f>Table2[[#This Row],[Asset growth B]]/(1+Table2[Compounded CPI])</f>
        <v>58.451369114700825</v>
      </c>
      <c r="Z28" s="17">
        <f>Z27*(1+Table2[[#This Row],[Discount rate B]])+0.5*(1+Table2[[#This Row],[Compounded salary growth]])</f>
        <v>66.066869625512453</v>
      </c>
      <c r="AA28" s="17">
        <f t="shared" si="8"/>
        <v>0</v>
      </c>
      <c r="AB28" s="17">
        <f t="shared" si="9"/>
        <v>0</v>
      </c>
      <c r="AC28" s="17">
        <f>Table2[[#This Row],[Difference in assets (B - A1)]]/(1+Table2[[#This Row],[Compounded CPI]])</f>
        <v>0</v>
      </c>
      <c r="AD28" s="17">
        <f t="shared" si="2"/>
        <v>0.55039729258020742</v>
      </c>
      <c r="AE28" s="17">
        <f t="shared" si="10"/>
        <v>0.52627118850112853</v>
      </c>
      <c r="AF28" s="17">
        <f>Table2[[#This Row],[Difference in assets (B - A2)]]/(1+Table2[[#This Row],[Compounded CPI]])</f>
        <v>0.50823007744372373</v>
      </c>
      <c r="AG28" s="40">
        <v>1.04E-2</v>
      </c>
      <c r="AH28" s="17">
        <f t="shared" si="18"/>
        <v>63.301006249280931</v>
      </c>
      <c r="AI28" s="17">
        <f t="shared" si="3"/>
        <v>0</v>
      </c>
      <c r="AJ28" s="41">
        <f t="shared" si="11"/>
        <v>0</v>
      </c>
      <c r="AK28" s="10">
        <v>1.5699999999999999E-2</v>
      </c>
      <c r="AL28" s="12">
        <f>(1+Table2[[#This Row],[CPI]])*(1+AL27)-1</f>
        <v>8.2968751768047078E-2</v>
      </c>
      <c r="AM28" s="12">
        <f t="shared" si="20"/>
        <v>3.5699999999999996E-2</v>
      </c>
      <c r="AN28" s="30">
        <f>(1+Table2[[#This Row],[Salary growth]])*(1+AN27)-1</f>
        <v>0.15965244611747664</v>
      </c>
      <c r="AO28" s="16">
        <f t="shared" si="12"/>
        <v>10.829687517680471</v>
      </c>
      <c r="AP28" s="18">
        <f t="shared" si="13"/>
        <v>14.078593772984616</v>
      </c>
      <c r="AQ28" s="18">
        <f>AQ27*(1+Table2[[#This Row],[Salary growth]])</f>
        <v>11.596524461174763</v>
      </c>
      <c r="AR28" s="20">
        <f t="shared" si="14"/>
        <v>15.075481799527198</v>
      </c>
      <c r="AS28" s="25">
        <f t="shared" si="15"/>
        <v>79.588689026748767</v>
      </c>
    </row>
    <row r="29" spans="1:45" x14ac:dyDescent="0.35">
      <c r="A29" s="8">
        <v>2023</v>
      </c>
      <c r="B29" s="61"/>
      <c r="C29" s="61"/>
      <c r="D29" s="61"/>
      <c r="E29" s="40">
        <v>6.0999999999999999E-2</v>
      </c>
      <c r="F29" s="17">
        <f>F28*(1+Table2[[#This Row],[2008 discount rate]])</f>
        <v>81.916685066426979</v>
      </c>
      <c r="G29" s="19">
        <v>6.0999999999999999E-2</v>
      </c>
      <c r="H29" s="17">
        <f>H28*(1+Table2[[#This Row],[2011 discount rate]])</f>
        <v>67.315959451908071</v>
      </c>
      <c r="I29" s="19">
        <v>5.1999999999999998E-2</v>
      </c>
      <c r="J29" s="17">
        <f>J28*(1+Table2[[#This Row],[2014 discount rate]])</f>
        <v>65.804698807578589</v>
      </c>
      <c r="K29" s="10">
        <v>1.23E-2</v>
      </c>
      <c r="L29" s="19">
        <f t="shared" si="19"/>
        <v>6.7993477102451294E-2</v>
      </c>
      <c r="M29" s="18">
        <f t="shared" si="16"/>
        <v>64.079608626147092</v>
      </c>
      <c r="N29" s="18">
        <f>Table2[[#This Row],[Asset growth A1]]/(1+Table2[[#This Row],[Compounded CPI]])</f>
        <v>58.14693490056176</v>
      </c>
      <c r="O29" s="18">
        <f>O28*(1+Table2[[#This Row],[Discount rate A1]])+0.5*(1+Table2[[#This Row],[Compounded salary growth]])</f>
        <v>67.481119810951995</v>
      </c>
      <c r="P29" s="10">
        <f>Table2[[#This Row],[CPI]]-0.53%-5*0.088%</f>
        <v>7.9000000000000025E-3</v>
      </c>
      <c r="Q29" s="19">
        <f t="shared" si="17"/>
        <v>5.4105646124310791E-2</v>
      </c>
      <c r="R29" s="18">
        <f t="shared" si="4"/>
        <v>63.24633876745866</v>
      </c>
      <c r="S29" s="18">
        <f>Table2[[#This Row],[Asset growth A2]]/(1+Table2[Compounded CPI])</f>
        <v>57.390811552330412</v>
      </c>
      <c r="T29" s="17">
        <f>Table2[[#This Row],[Asset growth A1]]-Table2[[#This Row],[Asset growth A2]]</f>
        <v>0.83326985868843195</v>
      </c>
      <c r="U29" s="17">
        <f t="shared" si="5"/>
        <v>0.78021998874858056</v>
      </c>
      <c r="V29" s="17">
        <f>Table2[[#This Row],[Difference in assets (A2 - A1)]]/(1+Table2[[#This Row],[Compounded CPI]])</f>
        <v>0.75612334823134553</v>
      </c>
      <c r="W29" s="40">
        <f t="shared" si="6"/>
        <v>1.2300000000000002E-2</v>
      </c>
      <c r="X29" s="17">
        <f t="shared" si="7"/>
        <v>64.079608626147092</v>
      </c>
      <c r="Y29" s="17">
        <f>Table2[[#This Row],[Asset growth B]]/(1+Table2[Compounded CPI])</f>
        <v>58.14693490056176</v>
      </c>
      <c r="Z29" s="17">
        <f>Z28*(1+Table2[[#This Row],[Discount rate B]])+0.5*(1+Table2[[#This Row],[Compounded salary growth]])</f>
        <v>67.481119810951995</v>
      </c>
      <c r="AA29" s="17">
        <f t="shared" si="8"/>
        <v>0</v>
      </c>
      <c r="AB29" s="17">
        <f t="shared" si="9"/>
        <v>0</v>
      </c>
      <c r="AC29" s="17">
        <f>Table2[[#This Row],[Difference in assets (B - A1)]]/(1+Table2[[#This Row],[Compounded CPI]])</f>
        <v>0</v>
      </c>
      <c r="AD29" s="17">
        <f t="shared" si="2"/>
        <v>0.83326985868843195</v>
      </c>
      <c r="AE29" s="17">
        <f t="shared" si="10"/>
        <v>0.79049937902539646</v>
      </c>
      <c r="AF29" s="17">
        <f>Table2[[#This Row],[Difference in assets (B - A2)]]/(1+Table2[[#This Row],[Compounded CPI]])</f>
        <v>0.75612334823134553</v>
      </c>
      <c r="AG29" s="40">
        <f>AG28+0.72%</f>
        <v>1.7599999999999998E-2</v>
      </c>
      <c r="AH29" s="17">
        <f t="shared" si="18"/>
        <v>64.415103959268279</v>
      </c>
      <c r="AI29" s="17">
        <f t="shared" si="3"/>
        <v>0.3354953331211874</v>
      </c>
      <c r="AJ29" s="41">
        <f t="shared" si="11"/>
        <v>0.31413612565444887</v>
      </c>
      <c r="AK29" s="10">
        <v>1.7600000000000001E-2</v>
      </c>
      <c r="AL29" s="12">
        <f>(1+Table2[[#This Row],[CPI]])*(1+AL28)-1</f>
        <v>0.10202900179916474</v>
      </c>
      <c r="AM29" s="12">
        <f t="shared" si="20"/>
        <v>3.7600000000000001E-2</v>
      </c>
      <c r="AN29" s="30">
        <f>(1+Table2[[#This Row],[Salary growth]])*(1+AN28)-1</f>
        <v>0.20325537809149385</v>
      </c>
      <c r="AO29" s="16">
        <f t="shared" si="12"/>
        <v>11.020290017991648</v>
      </c>
      <c r="AP29" s="18">
        <f t="shared" si="13"/>
        <v>14.326377023389147</v>
      </c>
      <c r="AQ29" s="18">
        <f>AQ28*(1+Table2[[#This Row],[Salary growth]])</f>
        <v>12.032553780914935</v>
      </c>
      <c r="AR29" s="20">
        <f t="shared" si="14"/>
        <v>15.642319915189422</v>
      </c>
      <c r="AS29" s="25">
        <f t="shared" si="15"/>
        <v>80.217439670060088</v>
      </c>
    </row>
    <row r="30" spans="1:45" x14ac:dyDescent="0.35">
      <c r="A30" s="8">
        <v>2024</v>
      </c>
      <c r="B30" s="61"/>
      <c r="C30" s="61"/>
      <c r="D30" s="61"/>
      <c r="E30" s="40">
        <v>6.0999999999999999E-2</v>
      </c>
      <c r="F30" s="17">
        <f>F29*(1+Table2[[#This Row],[2008 discount rate]])</f>
        <v>86.913602855479013</v>
      </c>
      <c r="G30" s="19">
        <v>6.0999999999999999E-2</v>
      </c>
      <c r="H30" s="17">
        <f>H29*(1+Table2[[#This Row],[2011 discount rate]])</f>
        <v>71.422232978474455</v>
      </c>
      <c r="I30" s="19">
        <v>5.1999999999999998E-2</v>
      </c>
      <c r="J30" s="17">
        <f>J29*(1+Table2[[#This Row],[2014 discount rate]])</f>
        <v>69.226543145572677</v>
      </c>
      <c r="K30" s="10">
        <v>1.41E-2</v>
      </c>
      <c r="L30" s="19">
        <f t="shared" si="19"/>
        <v>8.3052185129595779E-2</v>
      </c>
      <c r="M30" s="18">
        <f t="shared" si="16"/>
        <v>64.983131107775762</v>
      </c>
      <c r="N30" s="18">
        <f>Table2[[#This Row],[Asset growth A1]]/(1+Table2[[#This Row],[Compounded CPI]])</f>
        <v>57.844621034588648</v>
      </c>
      <c r="O30" s="18">
        <f>O29*(1+Table2[[#This Row],[Discount rate A1]])+0.5*(1+Table2[[#This Row],[Compounded salary growth]])</f>
        <v>69.057935420280558</v>
      </c>
      <c r="P30" s="10">
        <f>Table2[[#This Row],[CPI]]-0.53%-6*0.088%</f>
        <v>8.8200000000000014E-3</v>
      </c>
      <c r="Q30" s="19">
        <f t="shared" si="17"/>
        <v>6.3402857923127165E-2</v>
      </c>
      <c r="R30" s="18">
        <f t="shared" si="4"/>
        <v>63.804171475387648</v>
      </c>
      <c r="S30" s="18">
        <f>Table2[[#This Row],[Asset growth A2]]/(1+Table2[Compounded CPI])</f>
        <v>56.795172170121603</v>
      </c>
      <c r="T30" s="17">
        <f>Table2[[#This Row],[Asset growth A1]]-Table2[[#This Row],[Asset growth A2]]</f>
        <v>1.1789596323881142</v>
      </c>
      <c r="U30" s="17">
        <f t="shared" si="5"/>
        <v>1.0885529326982912</v>
      </c>
      <c r="V30" s="17">
        <f>Table2[[#This Row],[Difference in assets (A2 - A1)]]/(1+Table2[[#This Row],[Compounded CPI]])</f>
        <v>1.0494488644670454</v>
      </c>
      <c r="W30" s="40">
        <f t="shared" si="6"/>
        <v>1.4100000000000001E-2</v>
      </c>
      <c r="X30" s="17">
        <f t="shared" si="7"/>
        <v>64.983131107775762</v>
      </c>
      <c r="Y30" s="17">
        <f>Table2[[#This Row],[Asset growth B]]/(1+Table2[Compounded CPI])</f>
        <v>57.844621034588648</v>
      </c>
      <c r="Z30" s="17">
        <f>Z29*(1+Table2[[#This Row],[Discount rate B]])+0.5*(1+Table2[[#This Row],[Compounded salary growth]])</f>
        <v>69.057935420280558</v>
      </c>
      <c r="AA30" s="17">
        <f t="shared" si="8"/>
        <v>0</v>
      </c>
      <c r="AB30" s="17">
        <f t="shared" si="9"/>
        <v>0</v>
      </c>
      <c r="AC30" s="17">
        <f>Table2[[#This Row],[Difference in assets (B - A1)]]/(1+Table2[[#This Row],[Compounded CPI]])</f>
        <v>0</v>
      </c>
      <c r="AD30" s="17">
        <f t="shared" si="2"/>
        <v>1.1789596323881142</v>
      </c>
      <c r="AE30" s="17">
        <f t="shared" si="10"/>
        <v>1.1086669775278528</v>
      </c>
      <c r="AF30" s="17">
        <f>Table2[[#This Row],[Difference in assets (B - A2)]]/(1+Table2[[#This Row],[Compounded CPI]])</f>
        <v>1.0494488644670454</v>
      </c>
      <c r="AG30" s="40">
        <f t="shared" ref="AG30:AG33" si="21">AG29+0.72%</f>
        <v>2.4799999999999996E-2</v>
      </c>
      <c r="AH30" s="17">
        <f t="shared" si="18"/>
        <v>66.012598537458132</v>
      </c>
      <c r="AI30" s="17">
        <f t="shared" si="3"/>
        <v>1.02946742968237</v>
      </c>
      <c r="AJ30" s="41">
        <f t="shared" si="11"/>
        <v>0.95052430881637162</v>
      </c>
      <c r="AK30" s="10">
        <v>1.9400000000000001E-2</v>
      </c>
      <c r="AL30" s="12">
        <f>(1+Table2[[#This Row],[CPI]])*(1+AL29)-1</f>
        <v>0.12340836443406866</v>
      </c>
      <c r="AM30" s="12">
        <f t="shared" si="20"/>
        <v>3.9400000000000004E-2</v>
      </c>
      <c r="AN30" s="30">
        <f>(1+Table2[[#This Row],[Salary growth]])*(1+AN29)-1</f>
        <v>0.25066363998829888</v>
      </c>
      <c r="AO30" s="16">
        <f t="shared" si="12"/>
        <v>11.234083644340688</v>
      </c>
      <c r="AP30" s="18">
        <f t="shared" si="13"/>
        <v>14.604308737642897</v>
      </c>
      <c r="AQ30" s="18">
        <f>AQ29*(1+Table2[[#This Row],[Salary growth]])</f>
        <v>12.506636399882984</v>
      </c>
      <c r="AR30" s="20">
        <f t="shared" si="14"/>
        <v>16.258627319847886</v>
      </c>
      <c r="AS30" s="25">
        <f t="shared" si="15"/>
        <v>80.924957487950024</v>
      </c>
    </row>
    <row r="31" spans="1:45" x14ac:dyDescent="0.35">
      <c r="A31" s="8">
        <v>2025</v>
      </c>
      <c r="B31" s="61"/>
      <c r="C31" s="61"/>
      <c r="D31" s="61"/>
      <c r="E31" s="40">
        <v>6.0999999999999999E-2</v>
      </c>
      <c r="F31" s="17">
        <f>F30*(1+Table2[[#This Row],[2008 discount rate]])</f>
        <v>92.215332629663223</v>
      </c>
      <c r="G31" s="19">
        <v>6.0999999999999999E-2</v>
      </c>
      <c r="H31" s="17">
        <f>H30*(1+Table2[[#This Row],[2011 discount rate]])</f>
        <v>75.778989190161397</v>
      </c>
      <c r="I31" s="19">
        <v>5.1999999999999998E-2</v>
      </c>
      <c r="J31" s="17">
        <f>J30*(1+Table2[[#This Row],[2014 discount rate]])</f>
        <v>72.826323389142459</v>
      </c>
      <c r="K31" s="10">
        <v>1.6E-2</v>
      </c>
      <c r="L31" s="19">
        <f t="shared" si="19"/>
        <v>0.10038102009166927</v>
      </c>
      <c r="M31" s="18">
        <f t="shared" si="16"/>
        <v>66.022861205500178</v>
      </c>
      <c r="N31" s="18">
        <f>Table2[[#This Row],[Asset growth A1]]/(1+Table2[[#This Row],[Compounded CPI]])</f>
        <v>57.544438432529198</v>
      </c>
      <c r="O31" s="18">
        <f>O30*(1+Table2[[#This Row],[Discount rate A1]])+0.5*(1+Table2[[#This Row],[Compounded salary growth]])</f>
        <v>70.814020411164961</v>
      </c>
      <c r="P31" s="10">
        <f>Table2[[#This Row],[CPI]]-0.53%-7*0.088%</f>
        <v>9.8400000000000015E-3</v>
      </c>
      <c r="Q31" s="19">
        <f t="shared" si="17"/>
        <v>7.3866742045090916E-2</v>
      </c>
      <c r="R31" s="18">
        <f t="shared" si="4"/>
        <v>64.432004522705469</v>
      </c>
      <c r="S31" s="18">
        <f>Table2[[#This Row],[Asset growth A2]]/(1+Table2[Compounded CPI])</f>
        <v>56.157873949158528</v>
      </c>
      <c r="T31" s="17">
        <f>Table2[[#This Row],[Asset growth A1]]-Table2[[#This Row],[Asset growth A2]]</f>
        <v>1.5908566827947084</v>
      </c>
      <c r="U31" s="17">
        <f t="shared" si="5"/>
        <v>1.4457325723976766</v>
      </c>
      <c r="V31" s="17">
        <f>Table2[[#This Row],[Difference in assets (A2 - A1)]]/(1+Table2[[#This Row],[Compounded CPI]])</f>
        <v>1.3865644833706687</v>
      </c>
      <c r="W31" s="40">
        <f t="shared" si="6"/>
        <v>1.6E-2</v>
      </c>
      <c r="X31" s="17">
        <f t="shared" si="7"/>
        <v>66.022861205500178</v>
      </c>
      <c r="Y31" s="17">
        <f>Table2[[#This Row],[Asset growth B]]/(1+Table2[Compounded CPI])</f>
        <v>57.544438432529198</v>
      </c>
      <c r="Z31" s="17">
        <f>Z30*(1+Table2[[#This Row],[Discount rate B]])+0.5*(1+Table2[[#This Row],[Compounded salary growth]])</f>
        <v>70.814020411164961</v>
      </c>
      <c r="AA31" s="17">
        <f t="shared" si="8"/>
        <v>0</v>
      </c>
      <c r="AB31" s="17">
        <f t="shared" si="9"/>
        <v>0</v>
      </c>
      <c r="AC31" s="17">
        <f>Table2[[#This Row],[Difference in assets (B - A1)]]/(1+Table2[[#This Row],[Compounded CPI]])</f>
        <v>0</v>
      </c>
      <c r="AD31" s="17">
        <f t="shared" si="2"/>
        <v>1.5908566827947084</v>
      </c>
      <c r="AE31" s="17">
        <f t="shared" si="10"/>
        <v>1.4814283937735633</v>
      </c>
      <c r="AF31" s="17">
        <f>Table2[[#This Row],[Difference in assets (B - A2)]]/(1+Table2[[#This Row],[Compounded CPI]])</f>
        <v>1.3865644833706687</v>
      </c>
      <c r="AG31" s="40">
        <f t="shared" si="21"/>
        <v>3.1999999999999994E-2</v>
      </c>
      <c r="AH31" s="17">
        <f t="shared" si="18"/>
        <v>68.125001690656788</v>
      </c>
      <c r="AI31" s="17">
        <f t="shared" si="3"/>
        <v>2.1021404851566103</v>
      </c>
      <c r="AJ31" s="41">
        <f t="shared" si="11"/>
        <v>1.9103750853331583</v>
      </c>
      <c r="AK31" s="10">
        <v>2.1299999999999999E-2</v>
      </c>
      <c r="AL31" s="12">
        <f>(1+Table2[[#This Row],[CPI]])*(1+AL30)-1</f>
        <v>0.14733696259651441</v>
      </c>
      <c r="AM31" s="12">
        <f t="shared" si="20"/>
        <v>4.1300000000000003E-2</v>
      </c>
      <c r="AN31" s="30">
        <f>(1+Table2[[#This Row],[Salary growth]])*(1+AN30)-1</f>
        <v>0.30231604831981573</v>
      </c>
      <c r="AO31" s="16">
        <f t="shared" si="12"/>
        <v>11.473369625965145</v>
      </c>
      <c r="AP31" s="18">
        <f t="shared" si="13"/>
        <v>14.915380513754693</v>
      </c>
      <c r="AQ31" s="18">
        <f>AQ30*(1+Table2[[#This Row],[Salary growth]])</f>
        <v>13.023160483198152</v>
      </c>
      <c r="AR31" s="20">
        <f t="shared" si="14"/>
        <v>16.930108628157605</v>
      </c>
      <c r="AS31" s="25">
        <f t="shared" si="15"/>
        <v>81.721259069631458</v>
      </c>
    </row>
    <row r="32" spans="1:45" x14ac:dyDescent="0.35">
      <c r="A32" s="8">
        <v>2026</v>
      </c>
      <c r="B32" s="61"/>
      <c r="C32" s="61"/>
      <c r="D32" s="61"/>
      <c r="E32" s="40">
        <v>6.0999999999999999E-2</v>
      </c>
      <c r="F32" s="17">
        <f>F31*(1+Table2[[#This Row],[2008 discount rate]])</f>
        <v>97.840467920072669</v>
      </c>
      <c r="G32" s="19">
        <v>6.0999999999999999E-2</v>
      </c>
      <c r="H32" s="17">
        <f>H31*(1+Table2[[#This Row],[2011 discount rate]])</f>
        <v>80.401507530761236</v>
      </c>
      <c r="I32" s="19">
        <v>5.1999999999999998E-2</v>
      </c>
      <c r="J32" s="17">
        <f>J31*(1+Table2[[#This Row],[2014 discount rate]])</f>
        <v>76.613292205377874</v>
      </c>
      <c r="K32" s="10">
        <v>1.7600000000000001E-2</v>
      </c>
      <c r="L32" s="19">
        <f t="shared" si="19"/>
        <v>0.11974772604528261</v>
      </c>
      <c r="M32" s="18">
        <f t="shared" si="16"/>
        <v>67.184863562716984</v>
      </c>
      <c r="N32" s="18">
        <f>Table2[[#This Row],[Asset growth A1]]/(1+Table2[[#This Row],[Compounded CPI]])</f>
        <v>57.246280720443565</v>
      </c>
      <c r="O32" s="18">
        <f>O31*(1+Table2[[#This Row],[Discount rate A1]])+0.5*(1+Table2[[#This Row],[Compounded salary growth]])</f>
        <v>72.739439873797835</v>
      </c>
      <c r="P32" s="10">
        <f>Table2[[#This Row],[CPI]]-0.53%-8*0.088%</f>
        <v>1.0560000000000002E-2</v>
      </c>
      <c r="Q32" s="19">
        <f t="shared" si="17"/>
        <v>8.5206774841086963E-2</v>
      </c>
      <c r="R32" s="18">
        <f t="shared" si="4"/>
        <v>65.112406490465233</v>
      </c>
      <c r="S32" s="18">
        <f>Table2[[#This Row],[Asset growth A2]]/(1+Table2[Compounded CPI])</f>
        <v>55.480399939448276</v>
      </c>
      <c r="T32" s="17">
        <f>Table2[[#This Row],[Asset growth A1]]-Table2[[#This Row],[Asset growth A2]]</f>
        <v>2.0724570722517512</v>
      </c>
      <c r="U32" s="17">
        <f t="shared" si="5"/>
        <v>1.8508249885634875</v>
      </c>
      <c r="V32" s="17">
        <f>Table2[[#This Row],[Difference in assets (A2 - A1)]]/(1+Table2[[#This Row],[Compounded CPI]])</f>
        <v>1.765880780995285</v>
      </c>
      <c r="W32" s="40">
        <f t="shared" si="6"/>
        <v>1.7600000000000001E-2</v>
      </c>
      <c r="X32" s="17">
        <f t="shared" si="7"/>
        <v>67.184863562716984</v>
      </c>
      <c r="Y32" s="17">
        <f>Table2[[#This Row],[Asset growth B]]/(1+Table2[Compounded CPI])</f>
        <v>57.246280720443565</v>
      </c>
      <c r="Z32" s="17">
        <f>Z31*(1+Table2[[#This Row],[Discount rate B]])+0.5*(1+Table2[[#This Row],[Compounded salary growth]])</f>
        <v>72.739439873797835</v>
      </c>
      <c r="AA32" s="17">
        <f t="shared" si="8"/>
        <v>0</v>
      </c>
      <c r="AB32" s="17">
        <f t="shared" si="9"/>
        <v>0</v>
      </c>
      <c r="AC32" s="17">
        <f>Table2[[#This Row],[Difference in assets (B - A1)]]/(1+Table2[[#This Row],[Compounded CPI]])</f>
        <v>0</v>
      </c>
      <c r="AD32" s="17">
        <f t="shared" si="2"/>
        <v>2.0724570722517512</v>
      </c>
      <c r="AE32" s="17">
        <f t="shared" si="10"/>
        <v>1.9097347347054969</v>
      </c>
      <c r="AF32" s="17">
        <f>Table2[[#This Row],[Difference in assets (B - A2)]]/(1+Table2[[#This Row],[Compounded CPI]])</f>
        <v>1.765880780995285</v>
      </c>
      <c r="AG32" s="40">
        <f t="shared" si="21"/>
        <v>3.9199999999999992E-2</v>
      </c>
      <c r="AH32" s="17">
        <f t="shared" si="18"/>
        <v>70.795501756930534</v>
      </c>
      <c r="AI32" s="17">
        <f t="shared" si="3"/>
        <v>3.6106381942135499</v>
      </c>
      <c r="AJ32" s="41">
        <f t="shared" si="11"/>
        <v>3.2245104055406992</v>
      </c>
      <c r="AK32" s="10">
        <v>2.29E-2</v>
      </c>
      <c r="AL32" s="12">
        <f>(1+Table2[[#This Row],[CPI]])*(1+AL31)-1</f>
        <v>0.17361097903997447</v>
      </c>
      <c r="AM32" s="12">
        <f t="shared" si="20"/>
        <v>4.2900000000000001E-2</v>
      </c>
      <c r="AN32" s="30">
        <f>(1+Table2[[#This Row],[Salary growth]])*(1+AN31)-1</f>
        <v>0.35818540679273569</v>
      </c>
      <c r="AO32" s="16">
        <f t="shared" si="12"/>
        <v>11.736109790399745</v>
      </c>
      <c r="AP32" s="18">
        <f t="shared" si="13"/>
        <v>15.256942727519673</v>
      </c>
      <c r="AQ32" s="18">
        <f>AQ31*(1+Table2[[#This Row],[Salary growth]])</f>
        <v>13.581854067927353</v>
      </c>
      <c r="AR32" s="20">
        <f t="shared" si="14"/>
        <v>17.656410288305565</v>
      </c>
      <c r="AS32" s="25">
        <f t="shared" si="15"/>
        <v>82.584235565406757</v>
      </c>
    </row>
    <row r="33" spans="1:45" x14ac:dyDescent="0.35">
      <c r="A33" s="8">
        <v>2027</v>
      </c>
      <c r="B33" s="61"/>
      <c r="C33" s="61"/>
      <c r="D33" s="61"/>
      <c r="E33" s="40">
        <v>6.0999999999999999E-2</v>
      </c>
      <c r="F33" s="17">
        <f>F32*(1+Table2[[#This Row],[2008 discount rate]])</f>
        <v>103.80873646319709</v>
      </c>
      <c r="G33" s="19">
        <v>6.0999999999999999E-2</v>
      </c>
      <c r="H33" s="17">
        <f>H32*(1+Table2[[#This Row],[2011 discount rate]])</f>
        <v>85.305999490137665</v>
      </c>
      <c r="I33" s="19">
        <v>5.1999999999999998E-2</v>
      </c>
      <c r="J33" s="17">
        <f>J32*(1+Table2[[#This Row],[2014 discount rate]])</f>
        <v>80.597183400057531</v>
      </c>
      <c r="K33" s="10">
        <v>1.9E-2</v>
      </c>
      <c r="L33" s="19">
        <f t="shared" si="19"/>
        <v>0.14102293284014289</v>
      </c>
      <c r="M33" s="18">
        <f t="shared" si="16"/>
        <v>68.461375970408596</v>
      </c>
      <c r="N33" s="18">
        <f>Table2[[#This Row],[Asset growth A1]]/(1+Table2[[#This Row],[Compounded CPI]])</f>
        <v>56.950073273583897</v>
      </c>
      <c r="O33" s="18">
        <f>O32*(1+Table2[[#This Row],[Discount rate A1]])+0.5*(1+Table2[[#This Row],[Compounded salary growth]])</f>
        <v>74.830665741556814</v>
      </c>
      <c r="P33" s="10">
        <f>Table2[[#This Row],[CPI]]-0.53%-9*0.088%</f>
        <v>1.108E-2</v>
      </c>
      <c r="Q33" s="19">
        <f t="shared" si="17"/>
        <v>9.7230865906326125E-2</v>
      </c>
      <c r="R33" s="18">
        <f t="shared" si="4"/>
        <v>65.833851954379583</v>
      </c>
      <c r="S33" s="18">
        <f>Table2[[#This Row],[Asset growth A2]]/(1+Table2[Compounded CPI])</f>
        <v>54.76434908794041</v>
      </c>
      <c r="T33" s="17">
        <f>Table2[[#This Row],[Asset growth A1]]-Table2[[#This Row],[Asset growth A2]]</f>
        <v>2.6275240160290139</v>
      </c>
      <c r="U33" s="17">
        <f t="shared" si="5"/>
        <v>2.3027793223128228</v>
      </c>
      <c r="V33" s="17">
        <f>Table2[[#This Row],[Difference in assets (A2 - A1)]]/(1+Table2[[#This Row],[Compounded CPI]])</f>
        <v>2.1857241856434846</v>
      </c>
      <c r="W33" s="40">
        <f t="shared" si="6"/>
        <v>1.9E-2</v>
      </c>
      <c r="X33" s="17">
        <f t="shared" si="7"/>
        <v>68.461375970408596</v>
      </c>
      <c r="Y33" s="17">
        <f>Table2[[#This Row],[Asset growth B]]/(1+Table2[Compounded CPI])</f>
        <v>56.950073273583897</v>
      </c>
      <c r="Z33" s="17">
        <f>Z32*(1+Table2[[#This Row],[Discount rate B]])+0.5*(1+Table2[[#This Row],[Compounded salary growth]])</f>
        <v>74.830665741556814</v>
      </c>
      <c r="AA33" s="17">
        <f t="shared" si="8"/>
        <v>0</v>
      </c>
      <c r="AB33" s="17">
        <f t="shared" si="9"/>
        <v>0</v>
      </c>
      <c r="AC33" s="17">
        <f>Table2[[#This Row],[Difference in assets (B - A1)]]/(1+Table2[[#This Row],[Compounded CPI]])</f>
        <v>0</v>
      </c>
      <c r="AD33" s="17">
        <f t="shared" si="2"/>
        <v>2.6275240160290139</v>
      </c>
      <c r="AE33" s="17">
        <f t="shared" si="10"/>
        <v>2.3946865674970299</v>
      </c>
      <c r="AF33" s="17">
        <f>Table2[[#This Row],[Difference in assets (B - A2)]]/(1+Table2[[#This Row],[Compounded CPI]])</f>
        <v>2.1857241856434846</v>
      </c>
      <c r="AG33" s="40">
        <f t="shared" si="21"/>
        <v>4.639999999999999E-2</v>
      </c>
      <c r="AH33" s="17">
        <f t="shared" si="18"/>
        <v>74.080413038452107</v>
      </c>
      <c r="AI33" s="17">
        <f t="shared" si="3"/>
        <v>5.6190370680435109</v>
      </c>
      <c r="AJ33" s="41">
        <f t="shared" si="11"/>
        <v>4.9245610288103974</v>
      </c>
      <c r="AK33" s="10">
        <v>2.4299999999999999E-2</v>
      </c>
      <c r="AL33" s="12">
        <f>(1+Table2[[#This Row],[CPI]])*(1+AL32)-1</f>
        <v>0.20212972583064581</v>
      </c>
      <c r="AM33" s="12">
        <f t="shared" si="20"/>
        <v>4.4299999999999999E-2</v>
      </c>
      <c r="AN33" s="30">
        <f>(1+Table2[[#This Row],[Salary growth]])*(1+AN32)-1</f>
        <v>0.41835302031365385</v>
      </c>
      <c r="AO33" s="16">
        <f t="shared" si="12"/>
        <v>12.021297258306458</v>
      </c>
      <c r="AP33" s="18">
        <f t="shared" si="13"/>
        <v>15.627686435798401</v>
      </c>
      <c r="AQ33" s="18">
        <f>AQ32*(1+Table2[[#This Row],[Salary growth]])</f>
        <v>14.183530203136534</v>
      </c>
      <c r="AR33" s="20">
        <f t="shared" si="14"/>
        <v>18.438589264077503</v>
      </c>
      <c r="AS33" s="25">
        <f t="shared" si="15"/>
        <v>83.499268895471459</v>
      </c>
    </row>
    <row r="34" spans="1:45" x14ac:dyDescent="0.35">
      <c r="A34" s="8">
        <v>2028</v>
      </c>
      <c r="B34" s="61"/>
      <c r="C34" s="61"/>
      <c r="D34" s="61"/>
      <c r="E34" s="40">
        <v>6.0999999999999999E-2</v>
      </c>
      <c r="F34" s="17">
        <f>F33*(1+Table2[[#This Row],[2008 discount rate]])</f>
        <v>110.14106938745211</v>
      </c>
      <c r="G34" s="19">
        <v>6.0999999999999999E-2</v>
      </c>
      <c r="H34" s="17">
        <f>H33*(1+Table2[[#This Row],[2011 discount rate]])</f>
        <v>90.509665459036057</v>
      </c>
      <c r="I34" s="19">
        <v>5.1999999999999998E-2</v>
      </c>
      <c r="J34" s="17">
        <f>J33*(1+Table2[[#This Row],[2014 discount rate]])</f>
        <v>84.788236936860528</v>
      </c>
      <c r="K34" s="10">
        <v>5.3499999999999999E-2</v>
      </c>
      <c r="L34" s="19">
        <f t="shared" si="19"/>
        <v>0.20206765974709073</v>
      </c>
      <c r="M34" s="18">
        <f t="shared" si="16"/>
        <v>72.12405958482546</v>
      </c>
      <c r="N34" s="18">
        <f>Table2[[#This Row],[Asset growth A1]]/(1+Table2[[#This Row],[Compounded CPI]])</f>
        <v>58.505024079688567</v>
      </c>
      <c r="O34" s="18">
        <f>O33*(1+Table2[[#This Row],[Discount rate A1]])+0.5*(1+Table2[[#This Row],[Compounded salary growth]])</f>
        <v>79.575550400099075</v>
      </c>
      <c r="P34" s="10">
        <f>Table2[[#This Row],[CPI]]+2.56%</f>
        <v>5.11E-2</v>
      </c>
      <c r="Q34" s="19">
        <f t="shared" si="17"/>
        <v>0.15329936315413928</v>
      </c>
      <c r="R34" s="18">
        <f t="shared" si="4"/>
        <v>69.197961789248367</v>
      </c>
      <c r="S34" s="18">
        <f>Table2[[#This Row],[Asset growth A2]]/(1+Table2[Compounded CPI])</f>
        <v>56.131455218268307</v>
      </c>
      <c r="T34" s="17">
        <f>Table2[[#This Row],[Asset growth A1]]-Table2[[#This Row],[Asset growth A2]]</f>
        <v>2.9260977955770926</v>
      </c>
      <c r="U34" s="17">
        <f t="shared" si="5"/>
        <v>2.4342205464480506</v>
      </c>
      <c r="V34" s="17">
        <f>Table2[[#This Row],[Difference in assets (A2 - A1)]]/(1+Table2[[#This Row],[Compounded CPI]])</f>
        <v>2.3735688614202641</v>
      </c>
      <c r="W34" s="40">
        <f t="shared" ref="W34:W73" si="22">AK34+2.8%</f>
        <v>5.3499999999999992E-2</v>
      </c>
      <c r="X34" s="17">
        <f t="shared" si="7"/>
        <v>72.12405958482546</v>
      </c>
      <c r="Y34" s="17">
        <f>Table2[[#This Row],[Asset growth B]]/(1+Table2[Compounded CPI])</f>
        <v>58.505024079688567</v>
      </c>
      <c r="Z34" s="17">
        <f>Z33*(1+Table2[[#This Row],[Discount rate B]])+0.5*(1+Table2[[#This Row],[Compounded salary growth]])</f>
        <v>79.575550400099075</v>
      </c>
      <c r="AA34" s="17">
        <f t="shared" si="8"/>
        <v>0</v>
      </c>
      <c r="AB34" s="17">
        <f t="shared" si="9"/>
        <v>0</v>
      </c>
      <c r="AC34" s="17">
        <f>Table2[[#This Row],[Difference in assets (B - A1)]]/(1+Table2[[#This Row],[Compounded CPI]])</f>
        <v>0</v>
      </c>
      <c r="AD34" s="17">
        <f t="shared" si="2"/>
        <v>2.9260977955770926</v>
      </c>
      <c r="AE34" s="17">
        <f t="shared" si="10"/>
        <v>2.5371537426107271</v>
      </c>
      <c r="AF34" s="17">
        <f>Table2[[#This Row],[Difference in assets (B - A2)]]/(1+Table2[[#This Row],[Compounded CPI]])</f>
        <v>2.3735688614202641</v>
      </c>
      <c r="AG34" s="40">
        <f>W34</f>
        <v>5.3499999999999992E-2</v>
      </c>
      <c r="AH34" s="17">
        <f t="shared" si="18"/>
        <v>78.043715136009297</v>
      </c>
      <c r="AI34" s="17">
        <f t="shared" si="3"/>
        <v>5.9196555511838369</v>
      </c>
      <c r="AJ34" s="41">
        <f t="shared" si="11"/>
        <v>4.9245610288103947</v>
      </c>
      <c r="AK34" s="10">
        <v>2.5499999999999998E-2</v>
      </c>
      <c r="AL34" s="12">
        <f>(1+Table2[[#This Row],[CPI]])*(1+AL33)-1</f>
        <v>0.23278403383932744</v>
      </c>
      <c r="AM34" s="12">
        <f t="shared" si="20"/>
        <v>4.5499999999999999E-2</v>
      </c>
      <c r="AN34" s="30">
        <f>(1+Table2[[#This Row],[Salary growth]])*(1+AN33)-1</f>
        <v>0.48288808273792516</v>
      </c>
      <c r="AO34" s="16">
        <f t="shared" si="12"/>
        <v>12.327840338393273</v>
      </c>
      <c r="AP34" s="18">
        <f t="shared" si="13"/>
        <v>16.026192439911259</v>
      </c>
      <c r="AQ34" s="18">
        <f>AQ33*(1+Table2[[#This Row],[Salary growth]])</f>
        <v>14.828880827379248</v>
      </c>
      <c r="AR34" s="20">
        <f t="shared" si="14"/>
        <v>19.277545075593032</v>
      </c>
      <c r="AS34" s="25">
        <f t="shared" si="15"/>
        <v>87.766081536030043</v>
      </c>
    </row>
    <row r="35" spans="1:45" x14ac:dyDescent="0.35">
      <c r="A35" s="8">
        <v>2029</v>
      </c>
      <c r="B35" s="61"/>
      <c r="C35" s="61"/>
      <c r="D35" s="61"/>
      <c r="E35" s="40">
        <v>6.0999999999999999E-2</v>
      </c>
      <c r="F35" s="17">
        <f>F34*(1+Table2[[#This Row],[2008 discount rate]])</f>
        <v>116.85967462008668</v>
      </c>
      <c r="G35" s="19">
        <v>6.0999999999999999E-2</v>
      </c>
      <c r="H35" s="17">
        <f>H34*(1+Table2[[#This Row],[2011 discount rate]])</f>
        <v>96.03075505203725</v>
      </c>
      <c r="I35" s="19">
        <v>5.1999999999999998E-2</v>
      </c>
      <c r="J35" s="17">
        <f>J34*(1+Table2[[#This Row],[2014 discount rate]])</f>
        <v>89.197225257577273</v>
      </c>
      <c r="K35" s="10">
        <v>5.3400000000000003E-2</v>
      </c>
      <c r="L35" s="19">
        <f t="shared" si="19"/>
        <v>0.26625807277758518</v>
      </c>
      <c r="M35" s="18">
        <f t="shared" si="16"/>
        <v>75.975484366655138</v>
      </c>
      <c r="N35" s="18">
        <f>Table2[[#This Row],[Asset growth A1]]/(1+Table2[[#This Row],[Compounded CPI]])</f>
        <v>60.038180580169445</v>
      </c>
      <c r="O35" s="18">
        <f>O34*(1+Table2[[#This Row],[Discount rate A1]])+0.5*(1+Table2[[#This Row],[Compounded salary growth]])</f>
        <v>84.600805980756974</v>
      </c>
      <c r="P35" s="10">
        <f>Table2[[#This Row],[CPI]]+2.56%-1*0.086%</f>
        <v>5.1240000000000001E-2</v>
      </c>
      <c r="Q35" s="19">
        <f t="shared" si="17"/>
        <v>0.21239442252215723</v>
      </c>
      <c r="R35" s="18">
        <f t="shared" si="4"/>
        <v>72.743665351329454</v>
      </c>
      <c r="S35" s="18">
        <f>Table2[[#This Row],[Asset growth A2]]/(1+Table2[Compounded CPI])</f>
        <v>57.484297110231246</v>
      </c>
      <c r="T35" s="17">
        <f>Table2[[#This Row],[Asset growth A1]]-Table2[[#This Row],[Asset growth A2]]</f>
        <v>3.2318190153256836</v>
      </c>
      <c r="U35" s="17">
        <f t="shared" si="5"/>
        <v>2.5522593575546302</v>
      </c>
      <c r="V35" s="17">
        <f>Table2[[#This Row],[Difference in assets (A2 - A1)]]/(1+Table2[[#This Row],[Compounded CPI]])</f>
        <v>2.5538834699382016</v>
      </c>
      <c r="W35" s="40">
        <f t="shared" si="22"/>
        <v>5.4499999999999993E-2</v>
      </c>
      <c r="X35" s="17">
        <f t="shared" si="7"/>
        <v>76.054820832198445</v>
      </c>
      <c r="Y35" s="17">
        <f>Table2[[#This Row],[Asset growth B]]/(1+Table2[Compounded CPI])</f>
        <v>60.100874712159367</v>
      </c>
      <c r="Z35" s="17">
        <f>Z34*(1+Table2[[#This Row],[Discount rate B]])+0.5*(1+Table2[[#This Row],[Compounded salary growth]])</f>
        <v>84.68833908619709</v>
      </c>
      <c r="AA35" s="17">
        <f t="shared" si="8"/>
        <v>7.9336465543306645E-2</v>
      </c>
      <c r="AB35" s="17">
        <f t="shared" si="9"/>
        <v>6.2654262388455381E-2</v>
      </c>
      <c r="AC35" s="17">
        <f>Table2[[#This Row],[Difference in assets (B - A1)]]/(1+Table2[[#This Row],[Compounded CPI]])</f>
        <v>6.2694131989923352E-2</v>
      </c>
      <c r="AD35" s="17">
        <f t="shared" si="2"/>
        <v>3.3111554808689903</v>
      </c>
      <c r="AE35" s="17">
        <f t="shared" si="10"/>
        <v>2.7310876884279605</v>
      </c>
      <c r="AF35" s="17">
        <f>Table2[[#This Row],[Difference in assets (B - A2)]]/(1+Table2[[#This Row],[Compounded CPI]])</f>
        <v>2.6165776019281246</v>
      </c>
      <c r="AG35" s="40">
        <v>5.3400000000000003E-2</v>
      </c>
      <c r="AH35" s="17">
        <f t="shared" si="18"/>
        <v>82.211249524272191</v>
      </c>
      <c r="AI35" s="17">
        <f t="shared" si="3"/>
        <v>6.2357651576170525</v>
      </c>
      <c r="AJ35" s="41">
        <f t="shared" si="11"/>
        <v>4.9245610288103947</v>
      </c>
      <c r="AK35" s="10">
        <v>2.6499999999999999E-2</v>
      </c>
      <c r="AL35" s="12">
        <f>(1+Table2[[#This Row],[CPI]])*(1+AL34)-1</f>
        <v>0.26545281073606963</v>
      </c>
      <c r="AM35" s="12">
        <f t="shared" si="20"/>
        <v>4.65E-2</v>
      </c>
      <c r="AN35" s="30">
        <f>(1+Table2[[#This Row],[Salary growth]])*(1+AN34)-1</f>
        <v>0.55184237858523866</v>
      </c>
      <c r="AO35" s="16">
        <f t="shared" si="12"/>
        <v>12.654528107360694</v>
      </c>
      <c r="AP35" s="18">
        <f t="shared" si="13"/>
        <v>16.450886539568906</v>
      </c>
      <c r="AQ35" s="18">
        <f>AQ34*(1+Table2[[#This Row],[Salary growth]])</f>
        <v>15.518423785852383</v>
      </c>
      <c r="AR35" s="20">
        <f t="shared" si="14"/>
        <v>20.173950921608107</v>
      </c>
      <c r="AS35" s="25">
        <f t="shared" si="15"/>
        <v>92.26321555393622</v>
      </c>
    </row>
    <row r="36" spans="1:45" x14ac:dyDescent="0.35">
      <c r="A36" s="8">
        <v>2030</v>
      </c>
      <c r="B36" s="61"/>
      <c r="C36" s="61"/>
      <c r="D36" s="61"/>
      <c r="E36" s="40">
        <v>6.0999999999999999E-2</v>
      </c>
      <c r="F36" s="17">
        <f>F35*(1+Table2[[#This Row],[2008 discount rate]])</f>
        <v>123.98811477191197</v>
      </c>
      <c r="G36" s="19">
        <v>6.0999999999999999E-2</v>
      </c>
      <c r="H36" s="17">
        <f>H35*(1+Table2[[#This Row],[2011 discount rate]])</f>
        <v>101.88863111021152</v>
      </c>
      <c r="I36" s="19">
        <v>5.1999999999999998E-2</v>
      </c>
      <c r="J36" s="17">
        <f>J35*(1+Table2[[#This Row],[2014 discount rate]])</f>
        <v>93.83548097097129</v>
      </c>
      <c r="K36" s="10">
        <v>5.3199999999999997E-2</v>
      </c>
      <c r="L36" s="19">
        <f t="shared" si="19"/>
        <v>0.33362300224935271</v>
      </c>
      <c r="M36" s="18">
        <f t="shared" si="16"/>
        <v>80.017380134961186</v>
      </c>
      <c r="N36" s="18">
        <f>Table2[[#This Row],[Asset growth A1]]/(1+Table2[[#This Row],[Compounded CPI]])</f>
        <v>61.545855350432603</v>
      </c>
      <c r="O36" s="18">
        <f>O35*(1+Table2[[#This Row],[Discount rate A1]])+0.5*(1+Table2[[#This Row],[Compounded salary growth]])</f>
        <v>89.914268712598329</v>
      </c>
      <c r="P36" s="10">
        <f>Table2[[#This Row],[CPI]]+2.56%-2*0.086%</f>
        <v>5.1280000000000006E-2</v>
      </c>
      <c r="Q36" s="19">
        <f t="shared" si="17"/>
        <v>0.27456600850909352</v>
      </c>
      <c r="R36" s="18">
        <f t="shared" si="4"/>
        <v>76.473960510545623</v>
      </c>
      <c r="S36" s="18">
        <f>Table2[[#This Row],[Asset growth A2]]/(1+Table2[Compounded CPI])</f>
        <v>58.820412561849231</v>
      </c>
      <c r="T36" s="17">
        <f>Table2[[#This Row],[Asset growth A1]]-Table2[[#This Row],[Asset growth A2]]</f>
        <v>3.5434196244155629</v>
      </c>
      <c r="U36" s="17">
        <f t="shared" si="5"/>
        <v>2.6569874832985492</v>
      </c>
      <c r="V36" s="17">
        <f>Table2[[#This Row],[Difference in assets (A2 - A1)]]/(1+Table2[[#This Row],[Compounded CPI]])</f>
        <v>2.7254427885833734</v>
      </c>
      <c r="W36" s="40">
        <f t="shared" si="22"/>
        <v>5.5399999999999998E-2</v>
      </c>
      <c r="X36" s="17">
        <f t="shared" si="7"/>
        <v>80.268257906302225</v>
      </c>
      <c r="Y36" s="17">
        <f>Table2[[#This Row],[Asset growth B]]/(1+Table2[Compounded CPI])</f>
        <v>61.73881951646193</v>
      </c>
      <c r="Z36" s="17">
        <f>Z35*(1+Table2[[#This Row],[Discount rate B]])+0.5*(1+Table2[[#This Row],[Compounded salary growth]])</f>
        <v>90.192772925237492</v>
      </c>
      <c r="AA36" s="17">
        <f t="shared" si="8"/>
        <v>0.25087777134103817</v>
      </c>
      <c r="AB36" s="17">
        <f t="shared" si="9"/>
        <v>0.18811745967030835</v>
      </c>
      <c r="AC36" s="17">
        <f>Table2[[#This Row],[Difference in assets (B - A1)]]/(1+Table2[[#This Row],[Compounded CPI]])</f>
        <v>0.19296416602932723</v>
      </c>
      <c r="AD36" s="17">
        <f t="shared" si="2"/>
        <v>3.7942973957566011</v>
      </c>
      <c r="AE36" s="17">
        <f t="shared" si="10"/>
        <v>2.9769328308032703</v>
      </c>
      <c r="AF36" s="17">
        <f>Table2[[#This Row],[Difference in assets (B - A2)]]/(1+Table2[[#This Row],[Compounded CPI]])</f>
        <v>2.9184069546127009</v>
      </c>
      <c r="AG36" s="40">
        <v>5.3199999999999997E-2</v>
      </c>
      <c r="AH36" s="17">
        <f t="shared" si="18"/>
        <v>86.584887998963467</v>
      </c>
      <c r="AI36" s="17">
        <f t="shared" si="3"/>
        <v>6.5675078640022804</v>
      </c>
      <c r="AJ36" s="41">
        <f t="shared" si="11"/>
        <v>4.9245610288103956</v>
      </c>
      <c r="AK36" s="10">
        <v>2.7400000000000001E-2</v>
      </c>
      <c r="AL36" s="12">
        <f>(1+Table2[[#This Row],[CPI]])*(1+AL35)-1</f>
        <v>0.30012621775023796</v>
      </c>
      <c r="AM36" s="12">
        <f t="shared" si="20"/>
        <v>4.7399999999999998E-2</v>
      </c>
      <c r="AN36" s="30">
        <f>(1+Table2[[#This Row],[Salary growth]])*(1+AN35)-1</f>
        <v>0.62539970733017913</v>
      </c>
      <c r="AO36" s="16">
        <f t="shared" si="12"/>
        <v>13.001262177502378</v>
      </c>
      <c r="AP36" s="18">
        <f t="shared" si="13"/>
        <v>16.901640830753095</v>
      </c>
      <c r="AQ36" s="18">
        <f>AQ35*(1+Table2[[#This Row],[Salary growth]])</f>
        <v>16.253997073301786</v>
      </c>
      <c r="AR36" s="20">
        <f t="shared" si="14"/>
        <v>21.130196195292335</v>
      </c>
      <c r="AS36" s="25">
        <f t="shared" si="15"/>
        <v>96.994473247542075</v>
      </c>
    </row>
    <row r="37" spans="1:45" x14ac:dyDescent="0.35">
      <c r="A37" s="8">
        <v>2031</v>
      </c>
      <c r="B37" s="61"/>
      <c r="C37" s="61"/>
      <c r="D37" s="61"/>
      <c r="E37" s="40">
        <v>6.0999999999999999E-2</v>
      </c>
      <c r="F37" s="17">
        <f>F36*(1+Table2[[#This Row],[2008 discount rate]])</f>
        <v>131.55138977299859</v>
      </c>
      <c r="G37" s="19">
        <v>6.0999999999999999E-2</v>
      </c>
      <c r="H37" s="17">
        <f>H36*(1+Table2[[#This Row],[2011 discount rate]])</f>
        <v>108.10383760793442</v>
      </c>
      <c r="I37" s="19">
        <v>5.1999999999999998E-2</v>
      </c>
      <c r="J37" s="17">
        <f>J36*(1+Table2[[#This Row],[2014 discount rate]])</f>
        <v>98.714925981461803</v>
      </c>
      <c r="K37" s="10">
        <v>5.2699999999999997E-2</v>
      </c>
      <c r="L37" s="19">
        <f t="shared" si="19"/>
        <v>0.40390493446789355</v>
      </c>
      <c r="M37" s="18">
        <f t="shared" si="16"/>
        <v>84.234296068073633</v>
      </c>
      <c r="N37" s="18">
        <f>Table2[[#This Row],[Asset growth A1]]/(1+Table2[[#This Row],[Compounded CPI]])</f>
        <v>63.024632225097662</v>
      </c>
      <c r="O37" s="18">
        <f>O36*(1+Table2[[#This Row],[Discount rate A1]])+0.5*(1+Table2[[#This Row],[Compounded salary growth]])</f>
        <v>95.504460120393261</v>
      </c>
      <c r="P37" s="10">
        <f>Table2[[#This Row],[CPI]]+2.56%-3*0.086%</f>
        <v>5.1020000000000003E-2</v>
      </c>
      <c r="Q37" s="19">
        <f t="shared" si="17"/>
        <v>0.33959436626322748</v>
      </c>
      <c r="R37" s="18">
        <f t="shared" si="4"/>
        <v>80.375661975793662</v>
      </c>
      <c r="S37" s="18">
        <f>Table2[[#This Row],[Asset growth A2]]/(1+Table2[Compounded CPI])</f>
        <v>60.137577831473521</v>
      </c>
      <c r="T37" s="17">
        <f>Table2[[#This Row],[Asset growth A1]]-Table2[[#This Row],[Asset growth A2]]</f>
        <v>3.8586340922799707</v>
      </c>
      <c r="U37" s="17">
        <f t="shared" si="5"/>
        <v>2.7485009828977245</v>
      </c>
      <c r="V37" s="17">
        <f>Table2[[#This Row],[Difference in assets (A2 - A1)]]/(1+Table2[[#This Row],[Compounded CPI]])</f>
        <v>2.8870543936241413</v>
      </c>
      <c r="W37" s="40">
        <f>AK37+2.8%</f>
        <v>5.5999999999999994E-2</v>
      </c>
      <c r="X37" s="17">
        <f t="shared" si="7"/>
        <v>84.763280349055151</v>
      </c>
      <c r="Y37" s="17">
        <f>Table2[[#This Row],[Asset growth B]]/(1+Table2[Compounded CPI])</f>
        <v>63.420421604458951</v>
      </c>
      <c r="Z37" s="17">
        <f>Z36*(1+Table2[[#This Row],[Discount rate B]])+0.5*(1+Table2[[#This Row],[Compounded salary growth]])</f>
        <v>96.095277655691802</v>
      </c>
      <c r="AA37" s="17">
        <f t="shared" si="8"/>
        <v>0.5289842809815184</v>
      </c>
      <c r="AB37" s="17">
        <f t="shared" si="9"/>
        <v>0.37679494386990914</v>
      </c>
      <c r="AC37" s="17">
        <f>Table2[[#This Row],[Difference in assets (B - A1)]]/(1+Table2[[#This Row],[Compounded CPI]])</f>
        <v>0.39578937936128888</v>
      </c>
      <c r="AD37" s="17">
        <f t="shared" si="2"/>
        <v>4.3876183732614891</v>
      </c>
      <c r="AE37" s="17">
        <f t="shared" si="10"/>
        <v>3.2753335515292332</v>
      </c>
      <c r="AF37" s="17">
        <f>Table2[[#This Row],[Difference in assets (B - A2)]]/(1+Table2[[#This Row],[Compounded CPI]])</f>
        <v>3.2828437729854301</v>
      </c>
      <c r="AG37" s="40">
        <v>5.2699999999999997E-2</v>
      </c>
      <c r="AH37" s="17">
        <f t="shared" si="18"/>
        <v>91.147911596508834</v>
      </c>
      <c r="AI37" s="17">
        <f t="shared" si="3"/>
        <v>6.9136155284352014</v>
      </c>
      <c r="AJ37" s="41">
        <f t="shared" si="11"/>
        <v>4.9245610288103956</v>
      </c>
      <c r="AK37" s="10">
        <v>2.8000000000000001E-2</v>
      </c>
      <c r="AL37" s="12">
        <f>(1+Table2[[#This Row],[CPI]])*(1+AL36)-1</f>
        <v>0.33652975184724454</v>
      </c>
      <c r="AM37" s="12">
        <f t="shared" si="20"/>
        <v>4.8000000000000001E-2</v>
      </c>
      <c r="AN37" s="30">
        <f>(1+Table2[[#This Row],[Salary growth]])*(1+AN36)-1</f>
        <v>0.70341889328202778</v>
      </c>
      <c r="AO37" s="16">
        <f t="shared" si="12"/>
        <v>13.365297518472445</v>
      </c>
      <c r="AP37" s="18">
        <f t="shared" si="13"/>
        <v>17.374886774014183</v>
      </c>
      <c r="AQ37" s="18">
        <f>AQ36*(1+Table2[[#This Row],[Salary growth]])</f>
        <v>17.034188932820271</v>
      </c>
      <c r="AR37" s="20">
        <f t="shared" si="14"/>
        <v>22.144445612666367</v>
      </c>
      <c r="AS37" s="25">
        <f t="shared" si="15"/>
        <v>101.94313127263167</v>
      </c>
    </row>
    <row r="38" spans="1:45" x14ac:dyDescent="0.35">
      <c r="A38" s="8">
        <v>2032</v>
      </c>
      <c r="B38" s="61"/>
      <c r="C38" s="61"/>
      <c r="D38" s="61"/>
      <c r="E38" s="40">
        <v>6.0999999999999999E-2</v>
      </c>
      <c r="F38" s="17">
        <f>F37*(1+Table2[[#This Row],[2008 discount rate]])</f>
        <v>139.5760245491515</v>
      </c>
      <c r="G38" s="19">
        <v>6.0999999999999999E-2</v>
      </c>
      <c r="H38" s="17">
        <f>H37*(1+Table2[[#This Row],[2011 discount rate]])</f>
        <v>114.69817170201841</v>
      </c>
      <c r="I38" s="19">
        <v>5.1999999999999998E-2</v>
      </c>
      <c r="J38" s="17">
        <f>J37*(1+Table2[[#This Row],[2014 discount rate]])</f>
        <v>103.84810213249783</v>
      </c>
      <c r="K38" s="10">
        <v>5.21E-2</v>
      </c>
      <c r="L38" s="19">
        <f t="shared" si="19"/>
        <v>0.4770483815536708</v>
      </c>
      <c r="M38" s="18">
        <f t="shared" si="16"/>
        <v>88.622902893220271</v>
      </c>
      <c r="N38" s="18">
        <f>Table2[[#This Row],[Asset growth A1]]/(1+Table2[[#This Row],[Compounded CPI]])</f>
        <v>64.47079782598469</v>
      </c>
      <c r="O38" s="18">
        <f>O37*(1+Table2[[#This Row],[Discount rate A1]])+0.5*(1+Table2[[#This Row],[Compounded salary growth]])</f>
        <v>101.37325984746886</v>
      </c>
      <c r="P38" s="10">
        <f>Table2[[#This Row],[CPI]]+2.56%-4*0.086%</f>
        <v>5.0660000000000004E-2</v>
      </c>
      <c r="Q38" s="19">
        <f t="shared" si="17"/>
        <v>0.40745821685812245</v>
      </c>
      <c r="R38" s="18">
        <f t="shared" si="4"/>
        <v>84.447493011487367</v>
      </c>
      <c r="S38" s="18">
        <f>Table2[[#This Row],[Asset growth A2]]/(1+Table2[Compounded CPI])</f>
        <v>61.433298516690293</v>
      </c>
      <c r="T38" s="17">
        <f>Table2[[#This Row],[Asset growth A1]]-Table2[[#This Row],[Asset growth A2]]</f>
        <v>4.1754098817329037</v>
      </c>
      <c r="U38" s="17">
        <f t="shared" si="5"/>
        <v>2.8268606051623664</v>
      </c>
      <c r="V38" s="17">
        <f>Table2[[#This Row],[Difference in assets (A2 - A1)]]/(1+Table2[[#This Row],[Compounded CPI]])</f>
        <v>3.0374993092943936</v>
      </c>
      <c r="W38" s="40">
        <f t="shared" si="22"/>
        <v>5.6499999999999995E-2</v>
      </c>
      <c r="X38" s="17">
        <f t="shared" si="7"/>
        <v>89.552405688776773</v>
      </c>
      <c r="Y38" s="17">
        <f>Table2[[#This Row],[Asset growth B]]/(1+Table2[Compounded CPI])</f>
        <v>65.146986315129695</v>
      </c>
      <c r="Z38" s="17">
        <f>Z37*(1+Table2[[#This Row],[Discount rate B]])+0.5*(1+Table2[[#This Row],[Compounded salary growth]])</f>
        <v>102.4176781980415</v>
      </c>
      <c r="AA38" s="17">
        <f t="shared" si="8"/>
        <v>0.92950279555650184</v>
      </c>
      <c r="AB38" s="17">
        <f t="shared" si="9"/>
        <v>0.62929746050618918</v>
      </c>
      <c r="AC38" s="17">
        <f>Table2[[#This Row],[Difference in assets (B - A1)]]/(1+Table2[[#This Row],[Compounded CPI]])</f>
        <v>0.67618848914500163</v>
      </c>
      <c r="AD38" s="17">
        <f t="shared" si="2"/>
        <v>5.1049126772894056</v>
      </c>
      <c r="AE38" s="17">
        <f t="shared" si="10"/>
        <v>3.6270438554724085</v>
      </c>
      <c r="AF38" s="17">
        <f>Table2[[#This Row],[Difference in assets (B - A2)]]/(1+Table2[[#This Row],[Compounded CPI]])</f>
        <v>3.7136877984393952</v>
      </c>
      <c r="AG38" s="40">
        <v>5.21E-2</v>
      </c>
      <c r="AH38" s="17">
        <f t="shared" si="18"/>
        <v>95.896717790686949</v>
      </c>
      <c r="AI38" s="17">
        <f t="shared" si="3"/>
        <v>7.2738148974666785</v>
      </c>
      <c r="AJ38" s="41">
        <f t="shared" si="11"/>
        <v>4.9245610288103983</v>
      </c>
      <c r="AK38" s="10">
        <v>2.8500000000000001E-2</v>
      </c>
      <c r="AL38" s="12">
        <f>(1+Table2[[#This Row],[CPI]])*(1+AL37)-1</f>
        <v>0.37462084977489107</v>
      </c>
      <c r="AM38" s="12">
        <f t="shared" si="20"/>
        <v>4.8500000000000001E-2</v>
      </c>
      <c r="AN38" s="30">
        <f>(1+Table2[[#This Row],[Salary growth]])*(1+AN37)-1</f>
        <v>0.78603470960620614</v>
      </c>
      <c r="AO38" s="16">
        <f t="shared" si="12"/>
        <v>13.74620849774891</v>
      </c>
      <c r="AP38" s="18">
        <f t="shared" si="13"/>
        <v>17.870071047073587</v>
      </c>
      <c r="AQ38" s="18">
        <f>AQ37*(1+Table2[[#This Row],[Salary growth]])</f>
        <v>17.860347096062053</v>
      </c>
      <c r="AR38" s="20">
        <f t="shared" si="14"/>
        <v>23.218451224880685</v>
      </c>
      <c r="AS38" s="25">
        <f t="shared" si="15"/>
        <v>107.10757030290318</v>
      </c>
    </row>
    <row r="39" spans="1:45" x14ac:dyDescent="0.35">
      <c r="A39" s="8">
        <v>2033</v>
      </c>
      <c r="B39" s="61"/>
      <c r="C39" s="61"/>
      <c r="D39" s="61"/>
      <c r="E39" s="40">
        <v>6.0999999999999999E-2</v>
      </c>
      <c r="F39" s="17">
        <f>F38*(1+Table2[[#This Row],[2008 discount rate]])</f>
        <v>148.09016204664974</v>
      </c>
      <c r="G39" s="19">
        <v>6.0999999999999999E-2</v>
      </c>
      <c r="H39" s="17">
        <f>H38*(1+Table2[[#This Row],[2011 discount rate]])</f>
        <v>121.69476017584152</v>
      </c>
      <c r="I39" s="19">
        <v>5.1999999999999998E-2</v>
      </c>
      <c r="J39" s="17">
        <f>J38*(1+Table2[[#This Row],[2014 discount rate]])</f>
        <v>109.24820344338772</v>
      </c>
      <c r="K39" s="10">
        <v>5.1200000000000002E-2</v>
      </c>
      <c r="L39" s="19">
        <f t="shared" si="19"/>
        <v>0.55267325868921868</v>
      </c>
      <c r="M39" s="18">
        <f t="shared" si="16"/>
        <v>93.160395521353138</v>
      </c>
      <c r="N39" s="18">
        <f>Table2[[#This Row],[Asset growth A1]]/(1+Table2[[#This Row],[Compounded CPI]])</f>
        <v>65.880920263123457</v>
      </c>
      <c r="O39" s="18">
        <f>O38*(1+Table2[[#This Row],[Discount rate A1]])+0.5*(1+Table2[[#This Row],[Compounded salary growth]])</f>
        <v>107.50007805164127</v>
      </c>
      <c r="P39" s="10">
        <f>Table2[[#This Row],[CPI]]+2.56%-5*0.086%</f>
        <v>0.05</v>
      </c>
      <c r="Q39" s="19">
        <f t="shared" si="17"/>
        <v>0.47783112770102854</v>
      </c>
      <c r="R39" s="18">
        <f t="shared" si="4"/>
        <v>88.669867662061733</v>
      </c>
      <c r="S39" s="18">
        <f>Table2[[#This Row],[Asset growth A2]]/(1+Table2[Compounded CPI])</f>
        <v>62.705320737362506</v>
      </c>
      <c r="T39" s="17">
        <f>Table2[[#This Row],[Asset growth A1]]-Table2[[#This Row],[Asset growth A2]]</f>
        <v>4.4905278592914044</v>
      </c>
      <c r="U39" s="17">
        <f t="shared" si="5"/>
        <v>2.8921267460240476</v>
      </c>
      <c r="V39" s="17">
        <f>Table2[[#This Row],[Difference in assets (A2 - A1)]]/(1+Table2[[#This Row],[Compounded CPI]])</f>
        <v>3.1755995257609491</v>
      </c>
      <c r="W39" s="40">
        <f t="shared" si="22"/>
        <v>5.67E-2</v>
      </c>
      <c r="X39" s="17">
        <f t="shared" si="7"/>
        <v>94.630027091330419</v>
      </c>
      <c r="Y39" s="17">
        <f>Table2[[#This Row],[Asset growth B]]/(1+Table2[Compounded CPI])</f>
        <v>66.920210400697528</v>
      </c>
      <c r="Z39" s="17">
        <f>Z38*(1+Table2[[#This Row],[Discount rate B]])+0.5*(1+Table2[[#This Row],[Compounded salary growth]])</f>
        <v>109.16126785185246</v>
      </c>
      <c r="AA39" s="17">
        <f t="shared" si="8"/>
        <v>1.4696315699772811</v>
      </c>
      <c r="AB39" s="17">
        <f t="shared" si="9"/>
        <v>0.94651695825428062</v>
      </c>
      <c r="AC39" s="17">
        <f>Table2[[#This Row],[Difference in assets (B - A1)]]/(1+Table2[[#This Row],[Compounded CPI]])</f>
        <v>1.0392901375740733</v>
      </c>
      <c r="AD39" s="17">
        <f t="shared" si="2"/>
        <v>5.9601594292686855</v>
      </c>
      <c r="AE39" s="17">
        <f t="shared" si="10"/>
        <v>4.0330449924549505</v>
      </c>
      <c r="AF39" s="17">
        <f>Table2[[#This Row],[Difference in assets (B - A2)]]/(1+Table2[[#This Row],[Compounded CPI]])</f>
        <v>4.2148896633350219</v>
      </c>
      <c r="AG39" s="40">
        <v>5.1200000000000002E-2</v>
      </c>
      <c r="AH39" s="17">
        <f t="shared" si="18"/>
        <v>100.80662974157011</v>
      </c>
      <c r="AI39" s="17">
        <f t="shared" si="3"/>
        <v>7.646234220216968</v>
      </c>
      <c r="AJ39" s="41">
        <f t="shared" si="11"/>
        <v>4.9245610288103956</v>
      </c>
      <c r="AK39" s="10">
        <v>2.87E-2</v>
      </c>
      <c r="AL39" s="12">
        <f>(1+Table2[[#This Row],[CPI]])*(1+AL38)-1</f>
        <v>0.41407246816343046</v>
      </c>
      <c r="AM39" s="12">
        <f t="shared" si="20"/>
        <v>4.87E-2</v>
      </c>
      <c r="AN39" s="30">
        <f>(1+Table2[[#This Row],[Salary growth]])*(1+AN38)-1</f>
        <v>0.87301459996402841</v>
      </c>
      <c r="AO39" s="16">
        <f t="shared" si="12"/>
        <v>14.140724681634303</v>
      </c>
      <c r="AP39" s="18">
        <f t="shared" si="13"/>
        <v>18.382942086124597</v>
      </c>
      <c r="AQ39" s="18">
        <f>AQ38*(1+Table2[[#This Row],[Salary growth]])</f>
        <v>18.730145999640275</v>
      </c>
      <c r="AR39" s="20">
        <f t="shared" si="14"/>
        <v>24.349189799532372</v>
      </c>
      <c r="AS39" s="25">
        <f t="shared" si="15"/>
        <v>112.46294881804835</v>
      </c>
    </row>
    <row r="40" spans="1:45" x14ac:dyDescent="0.35">
      <c r="A40" s="8">
        <v>2034</v>
      </c>
      <c r="B40" s="61"/>
      <c r="C40" s="61"/>
      <c r="D40" s="61"/>
      <c r="E40" s="40">
        <v>6.0999999999999999E-2</v>
      </c>
      <c r="F40" s="17">
        <f>F39*(1+Table2[[#This Row],[2008 discount rate]])</f>
        <v>157.12366193149538</v>
      </c>
      <c r="G40" s="19">
        <v>6.0999999999999999E-2</v>
      </c>
      <c r="H40" s="17">
        <f>H39*(1+Table2[[#This Row],[2011 discount rate]])</f>
        <v>129.11814054656784</v>
      </c>
      <c r="I40" s="19">
        <v>5.1999999999999998E-2</v>
      </c>
      <c r="J40" s="17">
        <f>J39*(1+Table2[[#This Row],[2014 discount rate]])</f>
        <v>114.92911002244389</v>
      </c>
      <c r="K40" s="10">
        <v>5.0099999999999999E-2</v>
      </c>
      <c r="L40" s="19">
        <f t="shared" si="19"/>
        <v>0.63046218894954853</v>
      </c>
      <c r="M40" s="18">
        <f t="shared" si="16"/>
        <v>97.827731336972931</v>
      </c>
      <c r="N40" s="18">
        <f>Table2[[#This Row],[Asset growth A1]]/(1+Table2[[#This Row],[Compounded CPI]])</f>
        <v>67.251438094980017</v>
      </c>
      <c r="O40" s="18">
        <f>O39*(1+Table2[[#This Row],[Discount rate A1]])+0.5*(1+Table2[[#This Row],[Compounded salary growth]])</f>
        <v>113.86794716751965</v>
      </c>
      <c r="P40" s="10">
        <f>Table2[[#This Row],[CPI]]+2.56%-6*0.086%</f>
        <v>4.9140000000000003E-2</v>
      </c>
      <c r="Q40" s="19">
        <f t="shared" si="17"/>
        <v>0.55045174931625707</v>
      </c>
      <c r="R40" s="18">
        <f t="shared" si="4"/>
        <v>93.027104958975443</v>
      </c>
      <c r="S40" s="18">
        <f>Table2[[#This Row],[Asset growth A2]]/(1+Table2[Compounded CPI])</f>
        <v>63.951259063280354</v>
      </c>
      <c r="T40" s="17">
        <f>Table2[[#This Row],[Asset growth A1]]-Table2[[#This Row],[Asset growth A2]]</f>
        <v>4.8006263779974887</v>
      </c>
      <c r="U40" s="17">
        <f t="shared" si="5"/>
        <v>2.9443346865285904</v>
      </c>
      <c r="V40" s="17">
        <f>Table2[[#This Row],[Difference in assets (A2 - A1)]]/(1+Table2[[#This Row],[Compounded CPI]])</f>
        <v>3.3001790316996646</v>
      </c>
      <c r="W40" s="40">
        <f t="shared" si="22"/>
        <v>5.67E-2</v>
      </c>
      <c r="X40" s="17">
        <f t="shared" si="7"/>
        <v>99.995549627408849</v>
      </c>
      <c r="Y40" s="17">
        <f>Table2[[#This Row],[Asset growth B]]/(1+Table2[Compounded CPI])</f>
        <v>68.741699553239116</v>
      </c>
      <c r="Z40" s="17">
        <f>Z39*(1+Table2[[#This Row],[Discount rate B]])+0.5*(1+Table2[[#This Row],[Compounded salary growth]])</f>
        <v>116.33282694454363</v>
      </c>
      <c r="AA40" s="17">
        <f t="shared" si="8"/>
        <v>2.1678182904359176</v>
      </c>
      <c r="AB40" s="17">
        <f t="shared" si="9"/>
        <v>1.3295728690479902</v>
      </c>
      <c r="AC40" s="17">
        <f>Table2[[#This Row],[Difference in assets (B - A1)]]/(1+Table2[[#This Row],[Compounded CPI]])</f>
        <v>1.4902614582590978</v>
      </c>
      <c r="AD40" s="17">
        <f t="shared" si="2"/>
        <v>6.9684446684334063</v>
      </c>
      <c r="AE40" s="17">
        <f t="shared" si="10"/>
        <v>4.4944608379502693</v>
      </c>
      <c r="AF40" s="17">
        <f>Table2[[#This Row],[Difference in assets (B - A2)]]/(1+Table2[[#This Row],[Compounded CPI]])</f>
        <v>4.7904404899587627</v>
      </c>
      <c r="AG40" s="40">
        <v>5.0099999999999999E-2</v>
      </c>
      <c r="AH40" s="17">
        <f t="shared" si="18"/>
        <v>105.85704189162277</v>
      </c>
      <c r="AI40" s="17">
        <f t="shared" si="3"/>
        <v>8.0293105546498396</v>
      </c>
      <c r="AJ40" s="41">
        <f t="shared" si="11"/>
        <v>4.9245610288103965</v>
      </c>
      <c r="AK40" s="10">
        <v>2.87E-2</v>
      </c>
      <c r="AL40" s="12">
        <f>(1+Table2[[#This Row],[CPI]])*(1+AL39)-1</f>
        <v>0.45465634799972077</v>
      </c>
      <c r="AM40" s="12">
        <f t="shared" si="20"/>
        <v>4.87E-2</v>
      </c>
      <c r="AN40" s="30">
        <f>(1+Table2[[#This Row],[Salary growth]])*(1+AN39)-1</f>
        <v>0.96423041098227658</v>
      </c>
      <c r="AO40" s="16">
        <f t="shared" si="12"/>
        <v>14.546563479997207</v>
      </c>
      <c r="AP40" s="18">
        <f t="shared" si="13"/>
        <v>18.910532523996373</v>
      </c>
      <c r="AQ40" s="18">
        <f>AQ39*(1+Table2[[#This Row],[Salary growth]])</f>
        <v>19.642304109822756</v>
      </c>
      <c r="AR40" s="20">
        <f t="shared" si="14"/>
        <v>25.534995342769598</v>
      </c>
      <c r="AS40" s="25">
        <f t="shared" si="15"/>
        <v>117.98937812296724</v>
      </c>
    </row>
    <row r="41" spans="1:45" x14ac:dyDescent="0.35">
      <c r="A41" s="8">
        <v>2035</v>
      </c>
      <c r="B41" s="61"/>
      <c r="C41" s="61"/>
      <c r="D41" s="61"/>
      <c r="E41" s="40">
        <v>6.0999999999999999E-2</v>
      </c>
      <c r="F41" s="17">
        <f>F40*(1+Table2[[#This Row],[2008 discount rate]])</f>
        <v>166.70820530931658</v>
      </c>
      <c r="G41" s="19">
        <v>6.0999999999999999E-2</v>
      </c>
      <c r="H41" s="17">
        <f>H40*(1+Table2[[#This Row],[2011 discount rate]])</f>
        <v>136.99434711990847</v>
      </c>
      <c r="I41" s="19">
        <v>5.1999999999999998E-2</v>
      </c>
      <c r="J41" s="17">
        <f>J40*(1+Table2[[#This Row],[2014 discount rate]])</f>
        <v>120.90542374361098</v>
      </c>
      <c r="K41" s="10">
        <v>4.8800000000000003E-2</v>
      </c>
      <c r="L41" s="19">
        <f t="shared" si="19"/>
        <v>0.71002874377028635</v>
      </c>
      <c r="M41" s="18">
        <f t="shared" si="16"/>
        <v>102.60172462621721</v>
      </c>
      <c r="N41" s="18">
        <f>Table2[[#This Row],[Asset growth A1]]/(1+Table2[[#This Row],[Compounded CPI]])</f>
        <v>68.578812128356873</v>
      </c>
      <c r="O41" s="18">
        <f>O40*(1+Table2[[#This Row],[Discount rate A1]])+0.5*(1+Table2[[#This Row],[Compounded salary growth]])</f>
        <v>120.45445078225207</v>
      </c>
      <c r="P41" s="10">
        <f>Table2[[#This Row],[CPI]]+2.56%-7*0.086%</f>
        <v>4.8080000000000005E-2</v>
      </c>
      <c r="Q41" s="19">
        <f t="shared" si="17"/>
        <v>0.62499746942338263</v>
      </c>
      <c r="R41" s="18">
        <f t="shared" si="4"/>
        <v>97.499848165402966</v>
      </c>
      <c r="S41" s="18">
        <f>Table2[[#This Row],[Asset growth A2]]/(1+Table2[Compounded CPI])</f>
        <v>65.168726882880762</v>
      </c>
      <c r="T41" s="17">
        <f>Table2[[#This Row],[Asset growth A1]]-Table2[[#This Row],[Asset growth A2]]</f>
        <v>5.1018764608142391</v>
      </c>
      <c r="U41" s="17">
        <f t="shared" si="5"/>
        <v>2.9835033354852136</v>
      </c>
      <c r="V41" s="17">
        <f>Table2[[#This Row],[Difference in assets (A2 - A1)]]/(1+Table2[[#This Row],[Compounded CPI]])</f>
        <v>3.4100852454761084</v>
      </c>
      <c r="W41" s="40">
        <f t="shared" si="22"/>
        <v>5.6499999999999995E-2</v>
      </c>
      <c r="X41" s="17">
        <f t="shared" si="7"/>
        <v>105.64529818135745</v>
      </c>
      <c r="Y41" s="17">
        <f>Table2[[#This Row],[Asset growth B]]/(1+Table2[Compounded CPI])</f>
        <v>70.613131334951021</v>
      </c>
      <c r="Z41" s="17">
        <f>Z40*(1+Table2[[#This Row],[Discount rate B]])+0.5*(1+Table2[[#This Row],[Compounded salary growth]])</f>
        <v>123.9353794598678</v>
      </c>
      <c r="AA41" s="17">
        <f t="shared" si="8"/>
        <v>3.0435735551402416</v>
      </c>
      <c r="AB41" s="17">
        <f t="shared" si="9"/>
        <v>1.7798376584183866</v>
      </c>
      <c r="AC41" s="17">
        <f>Table2[[#This Row],[Difference in assets (B - A1)]]/(1+Table2[[#This Row],[Compounded CPI]])</f>
        <v>2.034319206594152</v>
      </c>
      <c r="AD41" s="17">
        <f t="shared" si="2"/>
        <v>8.1454500159544807</v>
      </c>
      <c r="AE41" s="17">
        <f t="shared" si="10"/>
        <v>5.0125924312022647</v>
      </c>
      <c r="AF41" s="17">
        <f>Table2[[#This Row],[Difference in assets (B - A2)]]/(1+Table2[[#This Row],[Compounded CPI]])</f>
        <v>5.4444044520702608</v>
      </c>
      <c r="AG41" s="40">
        <v>4.8800000000000003E-2</v>
      </c>
      <c r="AH41" s="17">
        <f t="shared" si="18"/>
        <v>111.02286553593396</v>
      </c>
      <c r="AI41" s="17">
        <f t="shared" si="3"/>
        <v>8.4211409097167547</v>
      </c>
      <c r="AJ41" s="41">
        <f t="shared" si="11"/>
        <v>4.9245610288103983</v>
      </c>
      <c r="AK41" s="10">
        <v>2.8500000000000001E-2</v>
      </c>
      <c r="AL41" s="12">
        <f>(1+Table2[[#This Row],[CPI]])*(1+AL40)-1</f>
        <v>0.49611405391771268</v>
      </c>
      <c r="AM41" s="12">
        <f t="shared" si="20"/>
        <v>4.8500000000000001E-2</v>
      </c>
      <c r="AN41" s="30">
        <f>(1+Table2[[#This Row],[Salary growth]])*(1+AN40)-1</f>
        <v>1.0594955859149171</v>
      </c>
      <c r="AO41" s="16">
        <f t="shared" si="12"/>
        <v>14.961140539177126</v>
      </c>
      <c r="AP41" s="18">
        <f t="shared" si="13"/>
        <v>19.449482700930268</v>
      </c>
      <c r="AQ41" s="18">
        <f>AQ40*(1+Table2[[#This Row],[Salary growth]])</f>
        <v>20.594955859149159</v>
      </c>
      <c r="AR41" s="20">
        <f t="shared" si="14"/>
        <v>26.773442616893924</v>
      </c>
      <c r="AS41" s="25">
        <f t="shared" si="15"/>
        <v>123.66230742311949</v>
      </c>
    </row>
    <row r="42" spans="1:45" x14ac:dyDescent="0.35">
      <c r="A42" s="8">
        <v>2036</v>
      </c>
      <c r="B42" s="61"/>
      <c r="C42" s="61"/>
      <c r="D42" s="61"/>
      <c r="E42" s="40">
        <v>6.0999999999999999E-2</v>
      </c>
      <c r="F42" s="17">
        <f>F41*(1+Table2[[#This Row],[2008 discount rate]])</f>
        <v>176.87740583318489</v>
      </c>
      <c r="G42" s="19">
        <v>6.0999999999999999E-2</v>
      </c>
      <c r="H42" s="17">
        <f>H41*(1+Table2[[#This Row],[2011 discount rate]])</f>
        <v>145.35100229422287</v>
      </c>
      <c r="I42" s="19">
        <v>5.1999999999999998E-2</v>
      </c>
      <c r="J42" s="17">
        <f>J41*(1+Table2[[#This Row],[2014 discount rate]])</f>
        <v>127.19250577827876</v>
      </c>
      <c r="K42" s="10">
        <v>4.7199999999999999E-2</v>
      </c>
      <c r="L42" s="19">
        <f t="shared" si="19"/>
        <v>0.7907421004762436</v>
      </c>
      <c r="M42" s="18">
        <f t="shared" si="16"/>
        <v>107.44452602857464</v>
      </c>
      <c r="N42" s="18">
        <f>Table2[[#This Row],[Asset growth A1]]/(1+Table2[[#This Row],[Compounded CPI]])</f>
        <v>69.859661537758086</v>
      </c>
      <c r="O42" s="18">
        <f>O41*(1+Table2[[#This Row],[Discount rate A1]])+0.5*(1+Table2[[#This Row],[Compounded salary growth]])</f>
        <v>127.21907654619376</v>
      </c>
      <c r="P42" s="10">
        <f>Table2[[#This Row],[CPI]]+2.56%-8*0.086%</f>
        <v>4.6720000000000005E-2</v>
      </c>
      <c r="Q42" s="19">
        <f t="shared" si="17"/>
        <v>0.70091735119484322</v>
      </c>
      <c r="R42" s="18">
        <f t="shared" si="4"/>
        <v>102.0550410716906</v>
      </c>
      <c r="S42" s="18">
        <f>Table2[[#This Row],[Asset growth A2]]/(1+Table2[Compounded CPI])</f>
        <v>66.355457006662405</v>
      </c>
      <c r="T42" s="17">
        <f>Table2[[#This Row],[Asset growth A1]]-Table2[[#This Row],[Asset growth A2]]</f>
        <v>5.3894849568840471</v>
      </c>
      <c r="U42" s="17">
        <f t="shared" si="5"/>
        <v>3.0096377113436525</v>
      </c>
      <c r="V42" s="17">
        <f>Table2[[#This Row],[Difference in assets (A2 - A1)]]/(1+Table2[[#This Row],[Compounded CPI]])</f>
        <v>3.5042045310956729</v>
      </c>
      <c r="W42" s="40">
        <f t="shared" si="22"/>
        <v>5.5999999999999994E-2</v>
      </c>
      <c r="X42" s="17">
        <f t="shared" si="7"/>
        <v>111.56143487951347</v>
      </c>
      <c r="Y42" s="17">
        <f>Table2[[#This Row],[Asset growth B]]/(1+Table2[Compounded CPI])</f>
        <v>72.536446196214285</v>
      </c>
      <c r="Z42" s="17">
        <f>Z41*(1+Table2[[#This Row],[Discount rate B]])+0.5*(1+Table2[[#This Row],[Compounded salary growth]])</f>
        <v>131.95493639663982</v>
      </c>
      <c r="AA42" s="17">
        <f t="shared" si="8"/>
        <v>4.1169088509388274</v>
      </c>
      <c r="AB42" s="17">
        <f t="shared" si="9"/>
        <v>2.2989959580689732</v>
      </c>
      <c r="AC42" s="17">
        <f>Table2[[#This Row],[Difference in assets (B - A1)]]/(1+Table2[[#This Row],[Compounded CPI]])</f>
        <v>2.6767846584562052</v>
      </c>
      <c r="AD42" s="17">
        <f t="shared" si="2"/>
        <v>9.5063938078228745</v>
      </c>
      <c r="AE42" s="17">
        <f t="shared" si="10"/>
        <v>5.5889804411395527</v>
      </c>
      <c r="AF42" s="17">
        <f>Table2[[#This Row],[Difference in assets (B - A2)]]/(1+Table2[[#This Row],[Compounded CPI]])</f>
        <v>6.1809891895518785</v>
      </c>
      <c r="AG42" s="40">
        <v>4.7199999999999999E-2</v>
      </c>
      <c r="AH42" s="17">
        <f t="shared" si="18"/>
        <v>116.26314478923003</v>
      </c>
      <c r="AI42" s="17">
        <f t="shared" si="3"/>
        <v>8.818618760655383</v>
      </c>
      <c r="AJ42" s="41">
        <f t="shared" si="11"/>
        <v>4.9245610288103983</v>
      </c>
      <c r="AK42" s="10">
        <v>2.8000000000000001E-2</v>
      </c>
      <c r="AL42" s="12">
        <f>(1+Table2[[#This Row],[CPI]])*(1+AL41)-1</f>
        <v>0.53800524742740863</v>
      </c>
      <c r="AM42" s="12">
        <f t="shared" si="20"/>
        <v>4.8000000000000001E-2</v>
      </c>
      <c r="AN42" s="30">
        <f>(1+Table2[[#This Row],[Salary growth]])*(1+AN41)-1</f>
        <v>1.1583513740388334</v>
      </c>
      <c r="AO42" s="16">
        <f t="shared" si="12"/>
        <v>15.380052474274086</v>
      </c>
      <c r="AP42" s="18">
        <f t="shared" si="13"/>
        <v>19.994068216556315</v>
      </c>
      <c r="AQ42" s="18">
        <f>AQ41*(1+Table2[[#This Row],[Salary growth]])</f>
        <v>21.583513740388319</v>
      </c>
      <c r="AR42" s="20">
        <f t="shared" si="14"/>
        <v>28.058567862504834</v>
      </c>
      <c r="AS42" s="25">
        <f t="shared" si="15"/>
        <v>129.43981042592765</v>
      </c>
    </row>
    <row r="43" spans="1:45" s="5" customFormat="1" x14ac:dyDescent="0.35">
      <c r="A43" s="63">
        <v>2037</v>
      </c>
      <c r="B43" s="62"/>
      <c r="C43" s="62"/>
      <c r="D43" s="62"/>
      <c r="E43" s="43">
        <v>6.0999999999999999E-2</v>
      </c>
      <c r="F43" s="35">
        <f>F42*(1+Table2[[#This Row],[2008 discount rate]])</f>
        <v>187.66692758900916</v>
      </c>
      <c r="G43" s="32">
        <v>6.0999999999999999E-2</v>
      </c>
      <c r="H43" s="35">
        <f>H42*(1+Table2[[#This Row],[2011 discount rate]])</f>
        <v>154.21741343417045</v>
      </c>
      <c r="I43" s="32">
        <v>5.1999999999999998E-2</v>
      </c>
      <c r="J43" s="35">
        <f>J42*(1+Table2[[#This Row],[2014 discount rate]])</f>
        <v>133.80651607874927</v>
      </c>
      <c r="K43" s="34">
        <v>4.5400000000000003E-2</v>
      </c>
      <c r="L43" s="32">
        <f t="shared" si="19"/>
        <v>0.87204179183786534</v>
      </c>
      <c r="M43" s="33">
        <f t="shared" si="16"/>
        <v>112.32250751027195</v>
      </c>
      <c r="N43" s="33">
        <f>Table2[[#This Row],[Asset growth A1]]/(1+Table2[[#This Row],[Compounded CPI]])</f>
        <v>71.090519002795972</v>
      </c>
      <c r="O43" s="33">
        <f>O42*(1+Table2[[#This Row],[Discount rate A1]])+0.5*(1+Table2[[#This Row],[Compounded salary growth]])</f>
        <v>134.1250433184064</v>
      </c>
      <c r="P43" s="34">
        <f>Table2[[#This Row],[CPI]]+2.56%-9*0.086%</f>
        <v>4.5160000000000006E-2</v>
      </c>
      <c r="Q43" s="32">
        <f t="shared" si="17"/>
        <v>0.77773077877480246</v>
      </c>
      <c r="R43" s="33">
        <f t="shared" si="4"/>
        <v>106.66384672648815</v>
      </c>
      <c r="S43" s="33">
        <f>Table2[[#This Row],[Asset growth A2]]/(1+Table2[Compounded CPI])</f>
        <v>67.509071785343394</v>
      </c>
      <c r="T43" s="35">
        <f>Table2[[#This Row],[Asset growth A1]]-Table2[[#This Row],[Asset growth A2]]</f>
        <v>5.6586607837838017</v>
      </c>
      <c r="U43" s="35">
        <f t="shared" si="5"/>
        <v>3.0227213988788395</v>
      </c>
      <c r="V43" s="35">
        <f>Table2[[#This Row],[Difference in assets (A2 - A1)]]/(1+Table2[[#This Row],[Compounded CPI]])</f>
        <v>3.5814472174525682</v>
      </c>
      <c r="W43" s="43">
        <f t="shared" si="22"/>
        <v>5.5300000000000002E-2</v>
      </c>
      <c r="X43" s="35">
        <f t="shared" si="7"/>
        <v>117.73078222835055</v>
      </c>
      <c r="Y43" s="33">
        <f>Table2[[#This Row],[Asset growth B]]/(1+Table2[Compounded CPI])</f>
        <v>74.513493303674593</v>
      </c>
      <c r="Z43" s="35">
        <f>Z42*(1+Table2[[#This Row],[Discount rate B]])+0.5*(1+Table2[[#This Row],[Compounded salary growth]])</f>
        <v>140.38226507638942</v>
      </c>
      <c r="AA43" s="35">
        <f t="shared" si="8"/>
        <v>5.4082747180786015</v>
      </c>
      <c r="AB43" s="35">
        <f t="shared" si="9"/>
        <v>2.8889711445859665</v>
      </c>
      <c r="AC43" s="35">
        <f>Table2[[#This Row],[Difference in assets (B - A1)]]/(1+Table2[[#This Row],[Compounded CPI]])</f>
        <v>3.4229743008786304</v>
      </c>
      <c r="AD43" s="35">
        <f t="shared" si="2"/>
        <v>11.066935501862403</v>
      </c>
      <c r="AE43" s="35">
        <f t="shared" si="10"/>
        <v>6.2253157980926925</v>
      </c>
      <c r="AF43" s="35">
        <f>Table2[[#This Row],[Difference in assets (B - A2)]]/(1+Table2[[#This Row],[Compounded CPI]])</f>
        <v>7.0044215183311991</v>
      </c>
      <c r="AG43" s="43">
        <v>4.5400000000000003E-2</v>
      </c>
      <c r="AH43" s="35">
        <f t="shared" si="18"/>
        <v>121.54149156266108</v>
      </c>
      <c r="AI43" s="35">
        <f t="shared" si="3"/>
        <v>9.218984052389132</v>
      </c>
      <c r="AJ43" s="42">
        <f t="shared" si="11"/>
        <v>4.9245610288103938</v>
      </c>
      <c r="AK43" s="34">
        <v>2.7300000000000001E-2</v>
      </c>
      <c r="AL43" s="31">
        <f>(1+Table2[[#This Row],[CPI]])*(1+AL42)-1</f>
        <v>0.57999279068217713</v>
      </c>
      <c r="AM43" s="31">
        <f t="shared" si="20"/>
        <v>4.7300000000000002E-2</v>
      </c>
      <c r="AN43" s="36">
        <f>(1+Table2[[#This Row],[Salary growth]])*(1+AN42)-1</f>
        <v>1.2604413940308699</v>
      </c>
      <c r="AO43" s="37">
        <f t="shared" si="12"/>
        <v>15.79992790682177</v>
      </c>
      <c r="AP43" s="33">
        <f t="shared" si="13"/>
        <v>20.539906278868305</v>
      </c>
      <c r="AQ43" s="33">
        <f>AQ42*(1+Table2[[#This Row],[Salary growth]])</f>
        <v>22.604413940308685</v>
      </c>
      <c r="AR43" s="38">
        <f t="shared" si="14"/>
        <v>29.38573812240131</v>
      </c>
      <c r="AS43" s="39">
        <f t="shared" si="15"/>
        <v>135.28531226476255</v>
      </c>
    </row>
    <row r="44" spans="1:45" x14ac:dyDescent="0.35">
      <c r="A44" s="8">
        <v>2038</v>
      </c>
      <c r="B44" s="61"/>
      <c r="C44" s="61"/>
      <c r="D44" s="61"/>
      <c r="E44" s="40">
        <v>6.0999999999999999E-2</v>
      </c>
      <c r="F44" s="17">
        <f>F43*(1+Table2[[#This Row],[2008 discount rate]])</f>
        <v>199.11461017193872</v>
      </c>
      <c r="G44" s="19">
        <v>6.0999999999999999E-2</v>
      </c>
      <c r="H44" s="17">
        <f>H43*(1+Table2[[#This Row],[2011 discount rate]])</f>
        <v>163.62467565365483</v>
      </c>
      <c r="I44" s="19">
        <v>5.1999999999999998E-2</v>
      </c>
      <c r="J44" s="17">
        <f>J43*(1+Table2[[#This Row],[2014 discount rate]])</f>
        <v>140.76445491484424</v>
      </c>
      <c r="K44" s="10">
        <v>4.3400000000000001E-2</v>
      </c>
      <c r="L44" s="19">
        <f t="shared" si="19"/>
        <v>0.95328840560362882</v>
      </c>
      <c r="M44" s="18">
        <f t="shared" si="16"/>
        <v>117.19730433621775</v>
      </c>
      <c r="N44" s="18">
        <f>Table2[[#This Row],[Asset growth A1]]/(1+Table2[[#This Row],[Compounded CPI]])</f>
        <v>72.267973039280321</v>
      </c>
      <c r="O44" s="18">
        <f>O43*(1+Table2[[#This Row],[Discount rate A1]])+0.5*(1+Table2[[#This Row],[Compounded salary growth]])</f>
        <v>141.1287331357822</v>
      </c>
      <c r="P44" s="10">
        <f>Table2[[#This Row],[CPI]]+2.56%-10*0.086%</f>
        <v>4.3400000000000008E-2</v>
      </c>
      <c r="Q44" s="19">
        <f t="shared" si="17"/>
        <v>0.85488429457362902</v>
      </c>
      <c r="R44" s="18">
        <f t="shared" si="4"/>
        <v>111.29305767441774</v>
      </c>
      <c r="S44" s="18">
        <f>Table2[[#This Row],[Asset growth A2]]/(1+Table2[Compounded CPI])</f>
        <v>68.627207229956454</v>
      </c>
      <c r="T44" s="17">
        <f>Table2[[#This Row],[Asset growth A1]]-Table2[[#This Row],[Asset growth A2]]</f>
        <v>5.9042466618000162</v>
      </c>
      <c r="U44" s="17">
        <f t="shared" si="5"/>
        <v>3.0227213988788382</v>
      </c>
      <c r="V44" s="17">
        <f>Table2[[#This Row],[Difference in assets (A2 - A1)]]/(1+Table2[[#This Row],[Compounded CPI]])</f>
        <v>3.6407658093238586</v>
      </c>
      <c r="W44" s="40">
        <f t="shared" si="22"/>
        <v>5.4399999999999997E-2</v>
      </c>
      <c r="X44" s="17">
        <f t="shared" si="7"/>
        <v>124.13533678157282</v>
      </c>
      <c r="Y44" s="17">
        <f>Table2[[#This Row],[Asset growth B]]/(1+Table2[Compounded CPI])</f>
        <v>76.546207462387471</v>
      </c>
      <c r="Z44" s="17">
        <f>Z43*(1+Table2[[#This Row],[Discount rate B]])+0.5*(1+Table2[[#This Row],[Compounded salary growth]])</f>
        <v>149.20172323390196</v>
      </c>
      <c r="AA44" s="17">
        <f t="shared" si="8"/>
        <v>6.9380324453550628</v>
      </c>
      <c r="AB44" s="17">
        <f t="shared" si="9"/>
        <v>3.5519754407240174</v>
      </c>
      <c r="AC44" s="17">
        <f>Table2[[#This Row],[Difference in assets (B - A1)]]/(1+Table2[[#This Row],[Compounded CPI]])</f>
        <v>4.2782344231071514</v>
      </c>
      <c r="AD44" s="17">
        <f t="shared" si="2"/>
        <v>12.842279107155079</v>
      </c>
      <c r="AE44" s="17">
        <f t="shared" si="10"/>
        <v>6.9234933654484658</v>
      </c>
      <c r="AF44" s="17">
        <f>Table2[[#This Row],[Difference in assets (B - A2)]]/(1+Table2[[#This Row],[Compounded CPI]])</f>
        <v>7.91900023243101</v>
      </c>
      <c r="AG44" s="40">
        <v>4.3400000000000001E-2</v>
      </c>
      <c r="AH44" s="17">
        <f t="shared" si="18"/>
        <v>126.81639229648059</v>
      </c>
      <c r="AI44" s="17">
        <f t="shared" si="3"/>
        <v>9.6190879602628314</v>
      </c>
      <c r="AJ44" s="41">
        <f t="shared" si="11"/>
        <v>4.9245610288104</v>
      </c>
      <c r="AK44" s="10">
        <v>2.64E-2</v>
      </c>
      <c r="AL44" s="12">
        <f>(1+Table2[[#This Row],[CPI]])*(1+AL43)-1</f>
        <v>0.62170460035618658</v>
      </c>
      <c r="AM44" s="12">
        <f t="shared" si="20"/>
        <v>4.6399999999999997E-2</v>
      </c>
      <c r="AN44" s="30">
        <f>(1+Table2[[#This Row],[Salary growth]])*(1+AN43)-1</f>
        <v>1.3653258747139021</v>
      </c>
      <c r="AO44" s="16">
        <f t="shared" si="12"/>
        <v>16.217046003561865</v>
      </c>
      <c r="AP44" s="18">
        <f t="shared" si="13"/>
        <v>21.082159804630429</v>
      </c>
      <c r="AQ44" s="18">
        <f>AQ43*(1+Table2[[#This Row],[Salary growth]])</f>
        <v>23.653258747139009</v>
      </c>
      <c r="AR44" s="20">
        <f t="shared" si="14"/>
        <v>30.74923637128073</v>
      </c>
      <c r="AS44" s="25">
        <f t="shared" si="15"/>
        <v>141.15669481705325</v>
      </c>
    </row>
    <row r="45" spans="1:45" x14ac:dyDescent="0.35">
      <c r="A45" s="8">
        <v>2039</v>
      </c>
      <c r="B45" s="61"/>
      <c r="C45" s="61"/>
      <c r="D45" s="61"/>
      <c r="E45" s="40">
        <v>6.0999999999999999E-2</v>
      </c>
      <c r="F45" s="17">
        <f>F44*(1+Table2[[#This Row],[2008 discount rate]])</f>
        <v>211.26060139242696</v>
      </c>
      <c r="G45" s="19">
        <v>6.0999999999999999E-2</v>
      </c>
      <c r="H45" s="17">
        <f>H44*(1+Table2[[#This Row],[2011 discount rate]])</f>
        <v>173.60578086852777</v>
      </c>
      <c r="I45" s="19">
        <v>5.1999999999999998E-2</v>
      </c>
      <c r="J45" s="17">
        <f>J44*(1+Table2[[#This Row],[2014 discount rate]])</f>
        <v>148.08420657041614</v>
      </c>
      <c r="K45" s="10">
        <v>4.2200000000000001E-2</v>
      </c>
      <c r="L45" s="19">
        <f t="shared" si="19"/>
        <v>1.0357171763201021</v>
      </c>
      <c r="M45" s="18">
        <f t="shared" si="16"/>
        <v>122.14303057920614</v>
      </c>
      <c r="N45" s="18">
        <f>Table2[[#This Row],[Asset growth A1]]/(1+Table2[[#This Row],[Compounded CPI]])</f>
        <v>73.466329985893438</v>
      </c>
      <c r="O45" s="18">
        <f>O44*(1+Table2[[#This Row],[Discount rate A1]])+0.5*(1+Table2[[#This Row],[Compounded salary growth]])</f>
        <v>148.32048497623768</v>
      </c>
      <c r="P45" s="10">
        <f>Table2[[#This Row],[CPI]]+1.7%</f>
        <v>4.2200000000000001E-2</v>
      </c>
      <c r="Q45" s="19">
        <f t="shared" si="17"/>
        <v>0.93316041180463616</v>
      </c>
      <c r="R45" s="18">
        <f t="shared" si="4"/>
        <v>115.98962470827817</v>
      </c>
      <c r="S45" s="18">
        <f>Table2[[#This Row],[Asset growth A2]]/(1+Table2[Compounded CPI])</f>
        <v>69.76519252346921</v>
      </c>
      <c r="T45" s="17">
        <f>Table2[[#This Row],[Asset growth A1]]-Table2[[#This Row],[Asset growth A2]]</f>
        <v>6.1534058709279691</v>
      </c>
      <c r="U45" s="17">
        <f t="shared" si="5"/>
        <v>3.0227213988788342</v>
      </c>
      <c r="V45" s="17">
        <f>Table2[[#This Row],[Difference in assets (A2 - A1)]]/(1+Table2[[#This Row],[Compounded CPI]])</f>
        <v>3.7011374624242301</v>
      </c>
      <c r="W45" s="40">
        <f t="shared" si="22"/>
        <v>5.3199999999999997E-2</v>
      </c>
      <c r="X45" s="17">
        <f t="shared" si="7"/>
        <v>130.73933669835247</v>
      </c>
      <c r="Y45" s="17">
        <f>Table2[[#This Row],[Asset growth B]]/(1+Table2[Compounded CPI])</f>
        <v>78.63681788859391</v>
      </c>
      <c r="Z45" s="17">
        <f>Z44*(1+Table2[[#This Row],[Discount rate B]])+0.5*(1+Table2[[#This Row],[Compounded salary growth]])</f>
        <v>158.37537421207099</v>
      </c>
      <c r="AA45" s="17">
        <f t="shared" si="8"/>
        <v>8.5963061191463339</v>
      </c>
      <c r="AB45" s="17">
        <f t="shared" si="9"/>
        <v>4.2227408694785336</v>
      </c>
      <c r="AC45" s="17">
        <f>Table2[[#This Row],[Difference in assets (B - A1)]]/(1+Table2[[#This Row],[Compounded CPI]])</f>
        <v>5.1704879027004749</v>
      </c>
      <c r="AD45" s="17">
        <f t="shared" si="2"/>
        <v>14.749711990074303</v>
      </c>
      <c r="AE45" s="17">
        <f t="shared" si="10"/>
        <v>7.6298438039630714</v>
      </c>
      <c r="AF45" s="17">
        <f>Table2[[#This Row],[Difference in assets (B - A2)]]/(1+Table2[[#This Row],[Compounded CPI]])</f>
        <v>8.8716253651247055</v>
      </c>
      <c r="AG45" s="40">
        <v>4.2200000000000001E-2</v>
      </c>
      <c r="AH45" s="17">
        <f t="shared" si="18"/>
        <v>132.16804405139206</v>
      </c>
      <c r="AI45" s="17">
        <f t="shared" si="3"/>
        <v>10.025013472185918</v>
      </c>
      <c r="AJ45" s="41">
        <f t="shared" si="11"/>
        <v>4.9245610288103974</v>
      </c>
      <c r="AK45" s="10">
        <v>2.52E-2</v>
      </c>
      <c r="AL45" s="12">
        <f>(1+Table2[[#This Row],[CPI]])*(1+AL44)-1</f>
        <v>0.6625715562851624</v>
      </c>
      <c r="AM45" s="12">
        <f t="shared" si="20"/>
        <v>4.5200000000000004E-2</v>
      </c>
      <c r="AN45" s="30">
        <f>(1+Table2[[#This Row],[Salary growth]])*(1+AN44)-1</f>
        <v>1.4722386042509701</v>
      </c>
      <c r="AO45" s="16">
        <f t="shared" si="12"/>
        <v>16.625715562851621</v>
      </c>
      <c r="AP45" s="18">
        <f t="shared" si="13"/>
        <v>21.613430231707113</v>
      </c>
      <c r="AQ45" s="18">
        <f>AQ44*(1+Table2[[#This Row],[Salary growth]])</f>
        <v>24.72238604250969</v>
      </c>
      <c r="AR45" s="20">
        <f t="shared" si="14"/>
        <v>32.139101855262616</v>
      </c>
      <c r="AS45" s="25">
        <f t="shared" si="15"/>
        <v>147.11350733833291</v>
      </c>
    </row>
    <row r="46" spans="1:45" x14ac:dyDescent="0.35">
      <c r="A46" s="8">
        <v>2040</v>
      </c>
      <c r="B46" s="61"/>
      <c r="C46" s="61"/>
      <c r="D46" s="61"/>
      <c r="E46" s="40">
        <v>6.0999999999999999E-2</v>
      </c>
      <c r="F46" s="17">
        <f>F45*(1+Table2[[#This Row],[2008 discount rate]])</f>
        <v>224.14749807736499</v>
      </c>
      <c r="G46" s="19">
        <v>6.0999999999999999E-2</v>
      </c>
      <c r="H46" s="17">
        <f>H45*(1+Table2[[#This Row],[2011 discount rate]])</f>
        <v>184.19573350150796</v>
      </c>
      <c r="I46" s="19">
        <v>5.1999999999999998E-2</v>
      </c>
      <c r="J46" s="17">
        <f>J45*(1+Table2[[#This Row],[2014 discount rate]])</f>
        <v>155.78458531207778</v>
      </c>
      <c r="K46" s="10">
        <v>4.0899999999999999E-2</v>
      </c>
      <c r="L46" s="19">
        <f t="shared" si="19"/>
        <v>1.1189780088315939</v>
      </c>
      <c r="M46" s="18">
        <f t="shared" si="16"/>
        <v>127.13868052989567</v>
      </c>
      <c r="N46" s="18">
        <f>Table2[[#This Row],[Asset growth A1]]/(1+Table2[[#This Row],[Compounded CPI]])</f>
        <v>74.686104973450995</v>
      </c>
      <c r="O46" s="18">
        <f>O45*(1+Table2[[#This Row],[Discount rate A1]])+0.5*(1+Table2[[#This Row],[Compounded salary growth]])</f>
        <v>155.67717775125459</v>
      </c>
      <c r="P46" s="10">
        <f>Table2[[#This Row],[CPI]]+1.7%</f>
        <v>4.0900000000000006E-2</v>
      </c>
      <c r="Q46" s="19">
        <f t="shared" si="17"/>
        <v>1.0122266726474458</v>
      </c>
      <c r="R46" s="18">
        <f t="shared" si="4"/>
        <v>120.73360035884674</v>
      </c>
      <c r="S46" s="18">
        <f>Table2[[#This Row],[Asset growth A2]]/(1+Table2[Compounded CPI])</f>
        <v>70.923516845081636</v>
      </c>
      <c r="T46" s="17">
        <f>Table2[[#This Row],[Asset growth A1]]-Table2[[#This Row],[Asset growth A2]]</f>
        <v>6.4050801710489225</v>
      </c>
      <c r="U46" s="17">
        <f t="shared" si="5"/>
        <v>3.0227213988788342</v>
      </c>
      <c r="V46" s="17">
        <f>Table2[[#This Row],[Difference in assets (A2 - A1)]]/(1+Table2[[#This Row],[Compounded CPI]])</f>
        <v>3.7625881283693534</v>
      </c>
      <c r="W46" s="40">
        <f t="shared" si="22"/>
        <v>5.1900000000000002E-2</v>
      </c>
      <c r="X46" s="17">
        <f t="shared" si="7"/>
        <v>137.52470827299697</v>
      </c>
      <c r="Y46" s="17">
        <f>Table2[[#This Row],[Asset growth B]]/(1+Table2[Compounded CPI])</f>
        <v>80.787253381201225</v>
      </c>
      <c r="Z46" s="17">
        <f>Z45*(1+Table2[[#This Row],[Discount rate B]])+0.5*(1+Table2[[#This Row],[Compounded salary growth]])</f>
        <v>167.88544107316628</v>
      </c>
      <c r="AA46" s="17">
        <f t="shared" si="8"/>
        <v>10.386027743101309</v>
      </c>
      <c r="AB46" s="17">
        <f t="shared" si="9"/>
        <v>4.9014325301224684</v>
      </c>
      <c r="AC46" s="17">
        <f>Table2[[#This Row],[Difference in assets (B - A1)]]/(1+Table2[[#This Row],[Compounded CPI]])</f>
        <v>6.1011484077502347</v>
      </c>
      <c r="AD46" s="17">
        <f t="shared" si="2"/>
        <v>16.791107914150231</v>
      </c>
      <c r="AE46" s="17">
        <f t="shared" si="10"/>
        <v>8.3445409716483443</v>
      </c>
      <c r="AF46" s="17">
        <f>Table2[[#This Row],[Difference in assets (B - A2)]]/(1+Table2[[#This Row],[Compounded CPI]])</f>
        <v>9.8637365361195872</v>
      </c>
      <c r="AG46" s="40">
        <v>4.0899999999999999E-2</v>
      </c>
      <c r="AH46" s="17">
        <f t="shared" si="18"/>
        <v>137.57371705309399</v>
      </c>
      <c r="AI46" s="17">
        <f t="shared" si="3"/>
        <v>10.43503652319832</v>
      </c>
      <c r="AJ46" s="41">
        <f t="shared" si="11"/>
        <v>4.9245610288103965</v>
      </c>
      <c r="AK46" s="10">
        <v>2.3900000000000001E-2</v>
      </c>
      <c r="AL46" s="12">
        <f>(1+Table2[[#This Row],[CPI]])*(1+AL45)-1</f>
        <v>0.70230701648037774</v>
      </c>
      <c r="AM46" s="12">
        <f t="shared" si="20"/>
        <v>4.3900000000000002E-2</v>
      </c>
      <c r="AN46" s="30">
        <f>(1+Table2[[#This Row],[Salary growth]])*(1+AN45)-1</f>
        <v>1.5807698789775877</v>
      </c>
      <c r="AO46" s="16">
        <f t="shared" si="12"/>
        <v>17.023070164803777</v>
      </c>
      <c r="AP46" s="18">
        <f t="shared" si="13"/>
        <v>22.129991214244914</v>
      </c>
      <c r="AQ46" s="18">
        <f>AQ45*(1+Table2[[#This Row],[Salary growth]])</f>
        <v>25.807698789775866</v>
      </c>
      <c r="AR46" s="20">
        <f t="shared" si="14"/>
        <v>33.550008426708644</v>
      </c>
      <c r="AS46" s="25">
        <f t="shared" si="15"/>
        <v>153.13044978847071</v>
      </c>
    </row>
    <row r="47" spans="1:45" x14ac:dyDescent="0.35">
      <c r="A47" s="8">
        <v>2041</v>
      </c>
      <c r="B47" s="61"/>
      <c r="C47" s="61"/>
      <c r="D47" s="61"/>
      <c r="E47" s="40">
        <v>6.0999999999999999E-2</v>
      </c>
      <c r="F47" s="17">
        <f>F46*(1+Table2[[#This Row],[2008 discount rate]])</f>
        <v>237.82049546008423</v>
      </c>
      <c r="G47" s="19">
        <v>6.0999999999999999E-2</v>
      </c>
      <c r="H47" s="17">
        <f>H46*(1+Table2[[#This Row],[2011 discount rate]])</f>
        <v>195.43167324509994</v>
      </c>
      <c r="I47" s="19">
        <v>5.1999999999999998E-2</v>
      </c>
      <c r="J47" s="17">
        <f>J46*(1+Table2[[#This Row],[2014 discount rate]])</f>
        <v>163.88538374830583</v>
      </c>
      <c r="K47" s="10">
        <v>3.9399999999999998E-2</v>
      </c>
      <c r="L47" s="19">
        <f t="shared" si="19"/>
        <v>1.2024657423795588</v>
      </c>
      <c r="M47" s="18">
        <f t="shared" si="16"/>
        <v>132.14794454277356</v>
      </c>
      <c r="N47" s="18">
        <f>Table2[[#This Row],[Asset growth A1]]/(1+Table2[[#This Row],[Compounded CPI]])</f>
        <v>75.927951398087799</v>
      </c>
      <c r="O47" s="18">
        <f>O46*(1+Table2[[#This Row],[Discount rate A1]])+0.5*(1+Table2[[#This Row],[Compounded salary growth]])</f>
        <v>163.15595581557716</v>
      </c>
      <c r="P47" s="10">
        <f>Table2[[#This Row],[CPI]]+1.7%</f>
        <v>3.9400000000000004E-2</v>
      </c>
      <c r="Q47" s="19">
        <f t="shared" si="17"/>
        <v>1.0915084035497555</v>
      </c>
      <c r="R47" s="18">
        <f t="shared" si="4"/>
        <v>125.49050421298531</v>
      </c>
      <c r="S47" s="18">
        <f>Table2[[#This Row],[Asset growth A2]]/(1+Table2[Compounded CPI])</f>
        <v>72.10280067368727</v>
      </c>
      <c r="T47" s="17">
        <f>Table2[[#This Row],[Asset growth A1]]-Table2[[#This Row],[Asset growth A2]]</f>
        <v>6.6574403297882441</v>
      </c>
      <c r="U47" s="17">
        <f t="shared" si="5"/>
        <v>3.0227213988788315</v>
      </c>
      <c r="V47" s="17">
        <f>Table2[[#This Row],[Difference in assets (A2 - A1)]]/(1+Table2[[#This Row],[Compounded CPI]])</f>
        <v>3.8251507244005305</v>
      </c>
      <c r="W47" s="40">
        <f t="shared" si="22"/>
        <v>5.04E-2</v>
      </c>
      <c r="X47" s="17">
        <f t="shared" si="7"/>
        <v>144.45595356995602</v>
      </c>
      <c r="Y47" s="17">
        <f>Table2[[#This Row],[Asset growth B]]/(1+Table2[Compounded CPI])</f>
        <v>82.999736846257605</v>
      </c>
      <c r="Z47" s="17">
        <f>Z46*(1+Table2[[#This Row],[Discount rate B]])+0.5*(1+Table2[[#This Row],[Compounded salary growth]])</f>
        <v>177.69196456417697</v>
      </c>
      <c r="AA47" s="17">
        <f t="shared" si="8"/>
        <v>12.308009027182464</v>
      </c>
      <c r="AB47" s="17">
        <f t="shared" si="9"/>
        <v>5.5882862513379248</v>
      </c>
      <c r="AC47" s="17">
        <f>Table2[[#This Row],[Difference in assets (B - A1)]]/(1+Table2[[#This Row],[Compounded CPI]])</f>
        <v>7.0717854481698019</v>
      </c>
      <c r="AD47" s="17">
        <f t="shared" si="2"/>
        <v>18.965449356970709</v>
      </c>
      <c r="AE47" s="17">
        <f t="shared" si="10"/>
        <v>9.0678332082157151</v>
      </c>
      <c r="AF47" s="17">
        <f>Table2[[#This Row],[Difference in assets (B - A2)]]/(1+Table2[[#This Row],[Compounded CPI]])</f>
        <v>10.896936172570333</v>
      </c>
      <c r="AG47" s="40">
        <v>3.9399999999999998E-2</v>
      </c>
      <c r="AH47" s="17">
        <f t="shared" si="18"/>
        <v>142.99412150498591</v>
      </c>
      <c r="AI47" s="17">
        <f t="shared" si="3"/>
        <v>10.846176962212354</v>
      </c>
      <c r="AJ47" s="41">
        <f t="shared" si="11"/>
        <v>4.9245610288104054</v>
      </c>
      <c r="AK47" s="10">
        <v>2.24E-2</v>
      </c>
      <c r="AL47" s="12">
        <f>(1+Table2[[#This Row],[CPI]])*(1+AL46)-1</f>
        <v>0.74043869364953818</v>
      </c>
      <c r="AM47" s="12">
        <f t="shared" si="20"/>
        <v>4.24E-2</v>
      </c>
      <c r="AN47" s="30">
        <f>(1+Table2[[#This Row],[Salary growth]])*(1+AN46)-1</f>
        <v>1.6901945218462373</v>
      </c>
      <c r="AO47" s="16">
        <f t="shared" si="12"/>
        <v>17.404386936495381</v>
      </c>
      <c r="AP47" s="18">
        <f t="shared" si="13"/>
        <v>22.625703017444</v>
      </c>
      <c r="AQ47" s="18">
        <f>AQ46*(1+Table2[[#This Row],[Salary growth]])</f>
        <v>26.901945218462362</v>
      </c>
      <c r="AR47" s="20">
        <f t="shared" si="14"/>
        <v>34.972528784001092</v>
      </c>
      <c r="AS47" s="25">
        <f t="shared" si="15"/>
        <v>159.16378951013647</v>
      </c>
    </row>
    <row r="48" spans="1:45" x14ac:dyDescent="0.35">
      <c r="A48" s="8">
        <v>2042</v>
      </c>
      <c r="B48" s="61"/>
      <c r="C48" s="61"/>
      <c r="D48" s="61"/>
      <c r="E48" s="40">
        <v>6.0999999999999999E-2</v>
      </c>
      <c r="F48" s="17">
        <f>F47*(1+Table2[[#This Row],[2008 discount rate]])</f>
        <v>252.32754568314937</v>
      </c>
      <c r="G48" s="19">
        <v>6.0999999999999999E-2</v>
      </c>
      <c r="H48" s="17">
        <f>H47*(1+Table2[[#This Row],[2011 discount rate]])</f>
        <v>207.35300531305103</v>
      </c>
      <c r="I48" s="19">
        <v>5.1999999999999998E-2</v>
      </c>
      <c r="J48" s="17">
        <f>J47*(1+Table2[[#This Row],[2014 discount rate]])</f>
        <v>172.40742370321775</v>
      </c>
      <c r="K48" s="10">
        <v>3.78E-2</v>
      </c>
      <c r="L48" s="19">
        <f t="shared" si="19"/>
        <v>1.2857189474415063</v>
      </c>
      <c r="M48" s="18">
        <f t="shared" si="16"/>
        <v>137.14313684649039</v>
      </c>
      <c r="N48" s="18">
        <f>Table2[[#This Row],[Asset growth A1]]/(1+Table2[[#This Row],[Compounded CPI]])</f>
        <v>77.192425510320845</v>
      </c>
      <c r="O48" s="18">
        <f>O47*(1+Table2[[#This Row],[Discount rate A1]])+0.5*(1+Table2[[#This Row],[Compounded salary growth]])</f>
        <v>170.72322817457476</v>
      </c>
      <c r="P48" s="10">
        <f>Table2[[#This Row],[CPI]]+1.7%</f>
        <v>3.78E-2</v>
      </c>
      <c r="Q48" s="19">
        <f t="shared" si="17"/>
        <v>1.1705674212039363</v>
      </c>
      <c r="R48" s="18">
        <f t="shared" si="4"/>
        <v>130.23404527223616</v>
      </c>
      <c r="S48" s="18">
        <f>Table2[[#This Row],[Asset growth A2]]/(1+Table2[Compounded CPI])</f>
        <v>73.303572236630728</v>
      </c>
      <c r="T48" s="17">
        <f>Table2[[#This Row],[Asset growth A1]]-Table2[[#This Row],[Asset growth A2]]</f>
        <v>6.9090915742542336</v>
      </c>
      <c r="U48" s="17">
        <f t="shared" si="5"/>
        <v>3.0227213988788284</v>
      </c>
      <c r="V48" s="17">
        <f>Table2[[#This Row],[Difference in assets (A2 - A1)]]/(1+Table2[[#This Row],[Compounded CPI]])</f>
        <v>3.8888532736901129</v>
      </c>
      <c r="W48" s="40">
        <f t="shared" si="22"/>
        <v>4.8799999999999996E-2</v>
      </c>
      <c r="X48" s="17">
        <f t="shared" si="7"/>
        <v>151.50540410416988</v>
      </c>
      <c r="Y48" s="17">
        <f>Table2[[#This Row],[Asset growth B]]/(1+Table2[Compounded CPI])</f>
        <v>85.276375396115768</v>
      </c>
      <c r="Z48" s="17">
        <f>Z47*(1+Table2[[#This Row],[Discount rate B]])+0.5*(1+Table2[[#This Row],[Compounded salary growth]])</f>
        <v>187.76330966407758</v>
      </c>
      <c r="AA48" s="17">
        <f t="shared" si="8"/>
        <v>14.362267257679491</v>
      </c>
      <c r="AB48" s="17">
        <f t="shared" si="9"/>
        <v>6.2834791100435741</v>
      </c>
      <c r="AC48" s="17">
        <f>Table2[[#This Row],[Difference in assets (B - A1)]]/(1+Table2[[#This Row],[Compounded CPI]])</f>
        <v>8.0839498857949277</v>
      </c>
      <c r="AD48" s="17">
        <f t="shared" si="2"/>
        <v>21.271358831933725</v>
      </c>
      <c r="AE48" s="17">
        <f t="shared" si="10"/>
        <v>9.7999069847529832</v>
      </c>
      <c r="AF48" s="17">
        <f>Table2[[#This Row],[Difference in assets (B - A2)]]/(1+Table2[[#This Row],[Compounded CPI]])</f>
        <v>11.972803159485041</v>
      </c>
      <c r="AG48" s="40">
        <v>3.78E-2</v>
      </c>
      <c r="AH48" s="17">
        <f t="shared" si="18"/>
        <v>148.39929929787439</v>
      </c>
      <c r="AI48" s="17">
        <f t="shared" si="3"/>
        <v>11.256162451384</v>
      </c>
      <c r="AJ48" s="41">
        <f t="shared" si="11"/>
        <v>4.9245610288104134</v>
      </c>
      <c r="AK48" s="10">
        <v>2.0799999999999999E-2</v>
      </c>
      <c r="AL48" s="12">
        <f>(1+Table2[[#This Row],[CPI]])*(1+AL47)-1</f>
        <v>0.77663981847744856</v>
      </c>
      <c r="AM48" s="12">
        <f t="shared" si="20"/>
        <v>4.0800000000000003E-2</v>
      </c>
      <c r="AN48" s="30">
        <f>(1+Table2[[#This Row],[Salary growth]])*(1+AN47)-1</f>
        <v>1.7999544583375635</v>
      </c>
      <c r="AO48" s="16">
        <f t="shared" si="12"/>
        <v>17.766398184774484</v>
      </c>
      <c r="AP48" s="18">
        <f t="shared" si="13"/>
        <v>23.096317640206834</v>
      </c>
      <c r="AQ48" s="18">
        <f>AQ47*(1+Table2[[#This Row],[Salary growth]])</f>
        <v>27.999544583375627</v>
      </c>
      <c r="AR48" s="20">
        <f t="shared" si="14"/>
        <v>36.399407958388338</v>
      </c>
      <c r="AS48" s="25">
        <f t="shared" si="15"/>
        <v>165.18018075361962</v>
      </c>
    </row>
    <row r="49" spans="1:45" x14ac:dyDescent="0.35">
      <c r="A49" s="8">
        <v>2043</v>
      </c>
      <c r="B49" s="61"/>
      <c r="C49" s="61"/>
      <c r="D49" s="61"/>
      <c r="E49" s="40">
        <v>6.0999999999999999E-2</v>
      </c>
      <c r="F49" s="17">
        <f>F48*(1+Table2[[#This Row],[2008 discount rate]])</f>
        <v>267.71952596982146</v>
      </c>
      <c r="G49" s="19">
        <v>6.0999999999999999E-2</v>
      </c>
      <c r="H49" s="17">
        <f>H48*(1+Table2[[#This Row],[2011 discount rate]])</f>
        <v>220.00153863714712</v>
      </c>
      <c r="I49" s="19">
        <v>5.1999999999999998E-2</v>
      </c>
      <c r="J49" s="17">
        <f>J48*(1+Table2[[#This Row],[2014 discount rate]])</f>
        <v>181.37260973578506</v>
      </c>
      <c r="K49" s="10">
        <v>3.61E-2</v>
      </c>
      <c r="L49" s="19">
        <f t="shared" si="19"/>
        <v>1.3682334014441446</v>
      </c>
      <c r="M49" s="18">
        <f t="shared" si="16"/>
        <v>142.09400408664871</v>
      </c>
      <c r="N49" s="18">
        <f>Table2[[#This Row],[Asset growth A1]]/(1+Table2[[#This Row],[Compounded CPI]])</f>
        <v>78.480102120737357</v>
      </c>
      <c r="O49" s="18">
        <f>O48*(1+Table2[[#This Row],[Discount rate A1]])+0.5*(1+Table2[[#This Row],[Compounded salary growth]])</f>
        <v>178.34105305050619</v>
      </c>
      <c r="P49" s="10">
        <f>Table2[[#This Row],[CPI]]+1.7%</f>
        <v>3.61E-2</v>
      </c>
      <c r="Q49" s="19">
        <f t="shared" si="17"/>
        <v>1.2489249051093982</v>
      </c>
      <c r="R49" s="18">
        <f t="shared" si="4"/>
        <v>134.9354943065639</v>
      </c>
      <c r="S49" s="18">
        <f>Table2[[#This Row],[Asset growth A2]]/(1+Table2[Compounded CPI])</f>
        <v>74.526377386294882</v>
      </c>
      <c r="T49" s="17">
        <f>Table2[[#This Row],[Asset growth A1]]-Table2[[#This Row],[Asset growth A2]]</f>
        <v>7.1585097800848132</v>
      </c>
      <c r="U49" s="17">
        <f t="shared" si="5"/>
        <v>3.0227213988788293</v>
      </c>
      <c r="V49" s="17">
        <f>Table2[[#This Row],[Difference in assets (A2 - A1)]]/(1+Table2[[#This Row],[Compounded CPI]])</f>
        <v>3.953724734442476</v>
      </c>
      <c r="W49" s="40">
        <f t="shared" si="22"/>
        <v>4.7099999999999996E-2</v>
      </c>
      <c r="X49" s="17">
        <f t="shared" si="7"/>
        <v>158.64130863747627</v>
      </c>
      <c r="Y49" s="17">
        <f>Table2[[#This Row],[Asset growth B]]/(1+Table2[Compounded CPI])</f>
        <v>87.61936284689709</v>
      </c>
      <c r="Z49" s="17">
        <f>Z48*(1+Table2[[#This Row],[Discount rate B]])+0.5*(1+Table2[[#This Row],[Compounded salary growth]])</f>
        <v>198.06167788808492</v>
      </c>
      <c r="AA49" s="17">
        <f t="shared" si="8"/>
        <v>16.547304550827562</v>
      </c>
      <c r="AB49" s="17">
        <f t="shared" si="9"/>
        <v>6.9871932980664173</v>
      </c>
      <c r="AC49" s="17">
        <f>Table2[[#This Row],[Difference in assets (B - A1)]]/(1+Table2[[#This Row],[Compounded CPI]])</f>
        <v>9.1392607261597316</v>
      </c>
      <c r="AD49" s="17">
        <f t="shared" si="2"/>
        <v>23.705814330912375</v>
      </c>
      <c r="AE49" s="17">
        <f t="shared" si="10"/>
        <v>10.54095415860905</v>
      </c>
      <c r="AF49" s="17">
        <f>Table2[[#This Row],[Difference in assets (B - A2)]]/(1+Table2[[#This Row],[Compounded CPI]])</f>
        <v>13.092985460602208</v>
      </c>
      <c r="AG49" s="40">
        <v>3.61E-2</v>
      </c>
      <c r="AH49" s="17">
        <f t="shared" si="18"/>
        <v>153.75651400252767</v>
      </c>
      <c r="AI49" s="17">
        <f t="shared" si="3"/>
        <v>11.662509915878957</v>
      </c>
      <c r="AJ49" s="41">
        <f t="shared" si="11"/>
        <v>4.9245610288104116</v>
      </c>
      <c r="AK49" s="10">
        <v>1.9099999999999999E-2</v>
      </c>
      <c r="AL49" s="12">
        <f>(1+Table2[[#This Row],[CPI]])*(1+AL48)-1</f>
        <v>0.81057363901036772</v>
      </c>
      <c r="AM49" s="12">
        <f t="shared" si="20"/>
        <v>3.9099999999999996E-2</v>
      </c>
      <c r="AN49" s="30">
        <f>(1+Table2[[#This Row],[Salary growth]])*(1+AN48)-1</f>
        <v>1.9094326776585619</v>
      </c>
      <c r="AO49" s="16">
        <f t="shared" si="12"/>
        <v>18.105736390103676</v>
      </c>
      <c r="AP49" s="18">
        <f t="shared" si="13"/>
        <v>23.537457307134783</v>
      </c>
      <c r="AQ49" s="18">
        <f>AQ48*(1+Table2[[#This Row],[Salary growth]])</f>
        <v>29.094326776585611</v>
      </c>
      <c r="AR49" s="20">
        <f t="shared" si="14"/>
        <v>37.822624809561319</v>
      </c>
      <c r="AS49" s="25">
        <f t="shared" si="15"/>
        <v>171.14318527882529</v>
      </c>
    </row>
    <row r="50" spans="1:45" x14ac:dyDescent="0.35">
      <c r="A50" s="8">
        <v>2044</v>
      </c>
      <c r="B50" s="61"/>
      <c r="C50" s="61"/>
      <c r="D50" s="61"/>
      <c r="E50" s="40">
        <v>6.0999999999999999E-2</v>
      </c>
      <c r="F50" s="17">
        <f>F49*(1+Table2[[#This Row],[2008 discount rate]])</f>
        <v>284.05041705398054</v>
      </c>
      <c r="G50" s="19">
        <v>6.0999999999999999E-2</v>
      </c>
      <c r="H50" s="17">
        <f>H49*(1+Table2[[#This Row],[2011 discount rate]])</f>
        <v>233.4216324940131</v>
      </c>
      <c r="I50" s="19">
        <v>5.1999999999999998E-2</v>
      </c>
      <c r="J50" s="17">
        <f>J49*(1+Table2[[#This Row],[2014 discount rate]])</f>
        <v>190.8039854420459</v>
      </c>
      <c r="K50" s="10">
        <v>3.4599999999999999E-2</v>
      </c>
      <c r="L50" s="19">
        <f t="shared" si="19"/>
        <v>1.4501742771341117</v>
      </c>
      <c r="M50" s="18">
        <f t="shared" si="16"/>
        <v>147.01045662804674</v>
      </c>
      <c r="N50" s="18">
        <f>Table2[[#This Row],[Asset growth A1]]/(1+Table2[[#This Row],[Compounded CPI]])</f>
        <v>79.791188732424189</v>
      </c>
      <c r="O50" s="18">
        <f>O49*(1+Table2[[#This Row],[Discount rate A1]])+0.5*(1+Table2[[#This Row],[Compounded salary growth]])</f>
        <v>186.02106715922295</v>
      </c>
      <c r="P50" s="10">
        <f>Table2[[#This Row],[CPI]]+1.7%</f>
        <v>3.4600000000000006E-2</v>
      </c>
      <c r="Q50" s="19">
        <f t="shared" si="17"/>
        <v>1.3267377068261834</v>
      </c>
      <c r="R50" s="18">
        <f t="shared" si="4"/>
        <v>139.60426240957099</v>
      </c>
      <c r="S50" s="18">
        <f>Table2[[#This Row],[Asset growth A2]]/(1+Table2[Compounded CPI])</f>
        <v>75.771413172032894</v>
      </c>
      <c r="T50" s="17">
        <f>Table2[[#This Row],[Asset growth A1]]-Table2[[#This Row],[Asset growth A2]]</f>
        <v>7.406194218475747</v>
      </c>
      <c r="U50" s="17">
        <f t="shared" si="5"/>
        <v>3.0227213988788293</v>
      </c>
      <c r="V50" s="17">
        <f>Table2[[#This Row],[Difference in assets (A2 - A1)]]/(1+Table2[[#This Row],[Compounded CPI]])</f>
        <v>4.0197755603912979</v>
      </c>
      <c r="W50" s="40">
        <f t="shared" si="22"/>
        <v>4.5600000000000002E-2</v>
      </c>
      <c r="X50" s="17">
        <f t="shared" si="7"/>
        <v>165.87535231134521</v>
      </c>
      <c r="Y50" s="17">
        <f>Table2[[#This Row],[Asset growth B]]/(1+Table2[Compounded CPI])</f>
        <v>90.030272988124608</v>
      </c>
      <c r="Z50" s="17">
        <f>Z49*(1+Table2[[#This Row],[Discount rate B]])+0.5*(1+Table2[[#This Row],[Compounded salary growth]])</f>
        <v>208.60270407295087</v>
      </c>
      <c r="AA50" s="17">
        <f t="shared" si="8"/>
        <v>18.864895683298471</v>
      </c>
      <c r="AB50" s="17">
        <f t="shared" si="9"/>
        <v>7.6994097356062845</v>
      </c>
      <c r="AC50" s="17">
        <f>Table2[[#This Row],[Difference in assets (B - A1)]]/(1+Table2[[#This Row],[Compounded CPI]])</f>
        <v>10.239084255700419</v>
      </c>
      <c r="AD50" s="17">
        <f t="shared" si="2"/>
        <v>26.271089901774218</v>
      </c>
      <c r="AE50" s="17">
        <f t="shared" si="10"/>
        <v>11.290954637774636</v>
      </c>
      <c r="AF50" s="17">
        <f>Table2[[#This Row],[Difference in assets (B - A2)]]/(1+Table2[[#This Row],[Compounded CPI]])</f>
        <v>14.258859816091716</v>
      </c>
      <c r="AG50" s="40">
        <v>3.4599999999999999E-2</v>
      </c>
      <c r="AH50" s="17">
        <f t="shared" si="18"/>
        <v>159.07648938701513</v>
      </c>
      <c r="AI50" s="17">
        <f t="shared" si="3"/>
        <v>12.06603275896839</v>
      </c>
      <c r="AJ50" s="41">
        <f t="shared" si="11"/>
        <v>4.9245610288104205</v>
      </c>
      <c r="AK50" s="10">
        <v>1.7600000000000001E-2</v>
      </c>
      <c r="AL50" s="12">
        <f>(1+Table2[[#This Row],[CPI]])*(1+AL49)-1</f>
        <v>0.84243973505695036</v>
      </c>
      <c r="AM50" s="12">
        <f t="shared" si="20"/>
        <v>3.7600000000000001E-2</v>
      </c>
      <c r="AN50" s="30">
        <f>(1+Table2[[#This Row],[Salary growth]])*(1+AN49)-1</f>
        <v>2.018827346338524</v>
      </c>
      <c r="AO50" s="16">
        <f t="shared" si="12"/>
        <v>18.424397350569503</v>
      </c>
      <c r="AP50" s="18">
        <f t="shared" si="13"/>
        <v>23.951716555740358</v>
      </c>
      <c r="AQ50" s="18">
        <f>AQ49*(1+Table2[[#This Row],[Salary growth]])</f>
        <v>30.188273463385233</v>
      </c>
      <c r="AR50" s="20">
        <f t="shared" si="14"/>
        <v>39.244755502400828</v>
      </c>
      <c r="AS50" s="25">
        <f t="shared" si="15"/>
        <v>177.06473948947263</v>
      </c>
    </row>
    <row r="51" spans="1:45" x14ac:dyDescent="0.35">
      <c r="A51" s="8">
        <v>2045</v>
      </c>
      <c r="B51" s="61"/>
      <c r="C51" s="61"/>
      <c r="D51" s="61"/>
      <c r="E51" s="40">
        <v>6.0999999999999999E-2</v>
      </c>
      <c r="F51" s="17">
        <f>F50*(1+Table2[[#This Row],[2008 discount rate]])</f>
        <v>301.37749249427333</v>
      </c>
      <c r="G51" s="19">
        <v>6.0999999999999999E-2</v>
      </c>
      <c r="H51" s="17">
        <f>H50*(1+Table2[[#This Row],[2011 discount rate]])</f>
        <v>247.66035207614789</v>
      </c>
      <c r="I51" s="19">
        <v>5.1999999999999998E-2</v>
      </c>
      <c r="J51" s="17">
        <f>J50*(1+Table2[[#This Row],[2014 discount rate]])</f>
        <v>200.7257926850323</v>
      </c>
      <c r="K51" s="10">
        <v>3.3099999999999997E-2</v>
      </c>
      <c r="L51" s="19">
        <f t="shared" si="19"/>
        <v>1.5312750457072508</v>
      </c>
      <c r="M51" s="18">
        <f t="shared" si="16"/>
        <v>151.87650274243506</v>
      </c>
      <c r="N51" s="18">
        <f>Table2[[#This Row],[Asset growth A1]]/(1+Table2[[#This Row],[Compounded CPI]])</f>
        <v>81.126146126825518</v>
      </c>
      <c r="O51" s="18">
        <f>O50*(1+Table2[[#This Row],[Discount rate A1]])+0.5*(1+Table2[[#This Row],[Compounded salary growth]])</f>
        <v>193.7422679889639</v>
      </c>
      <c r="P51" s="10">
        <f>Table2[[#This Row],[CPI]]+1.7%</f>
        <v>3.3100000000000004E-2</v>
      </c>
      <c r="Q51" s="19">
        <f t="shared" si="17"/>
        <v>1.4037527249221298</v>
      </c>
      <c r="R51" s="18">
        <f t="shared" si="4"/>
        <v>144.22516349532779</v>
      </c>
      <c r="S51" s="18">
        <f>Table2[[#This Row],[Asset growth A2]]/(1+Table2[Compounded CPI])</f>
        <v>77.039117161723425</v>
      </c>
      <c r="T51" s="17">
        <f>Table2[[#This Row],[Asset growth A1]]-Table2[[#This Row],[Asset growth A2]]</f>
        <v>7.6513392471072734</v>
      </c>
      <c r="U51" s="17">
        <f t="shared" si="5"/>
        <v>3.0227213988788213</v>
      </c>
      <c r="V51" s="17">
        <f>Table2[[#This Row],[Difference in assets (A2 - A1)]]/(1+Table2[[#This Row],[Compounded CPI]])</f>
        <v>4.0870289651020943</v>
      </c>
      <c r="W51" s="40">
        <f t="shared" si="22"/>
        <v>4.41E-2</v>
      </c>
      <c r="X51" s="17">
        <f t="shared" si="7"/>
        <v>173.19045534827555</v>
      </c>
      <c r="Y51" s="17">
        <f>Table2[[#This Row],[Asset growth B]]/(1+Table2[Compounded CPI])</f>
        <v>92.511178060132764</v>
      </c>
      <c r="Z51" s="17">
        <f>Z50*(1+Table2[[#This Row],[Discount rate B]])+0.5*(1+Table2[[#This Row],[Compounded salary growth]])</f>
        <v>219.36598682933871</v>
      </c>
      <c r="AA51" s="17">
        <f t="shared" si="8"/>
        <v>21.313952605840484</v>
      </c>
      <c r="AB51" s="17">
        <f t="shared" si="9"/>
        <v>8.4202436404477172</v>
      </c>
      <c r="AC51" s="17">
        <f>Table2[[#This Row],[Difference in assets (B - A1)]]/(1+Table2[[#This Row],[Compounded CPI]])</f>
        <v>11.385031933307246</v>
      </c>
      <c r="AD51" s="17">
        <f t="shared" si="2"/>
        <v>28.965291852947757</v>
      </c>
      <c r="AE51" s="17">
        <f t="shared" si="10"/>
        <v>12.050029752492989</v>
      </c>
      <c r="AF51" s="17">
        <f>Table2[[#This Row],[Difference in assets (B - A2)]]/(1+Table2[[#This Row],[Compounded CPI]])</f>
        <v>15.472060898409341</v>
      </c>
      <c r="AG51" s="40">
        <v>3.3099999999999997E-2</v>
      </c>
      <c r="AH51" s="17">
        <f t="shared" si="18"/>
        <v>164.34192118572531</v>
      </c>
      <c r="AI51" s="17">
        <f t="shared" si="3"/>
        <v>12.465418443290247</v>
      </c>
      <c r="AJ51" s="41">
        <f t="shared" si="11"/>
        <v>4.9245610288104222</v>
      </c>
      <c r="AK51" s="10">
        <v>1.61E-2</v>
      </c>
      <c r="AL51" s="12">
        <f>(1+Table2[[#This Row],[CPI]])*(1+AL50)-1</f>
        <v>0.87210301479136731</v>
      </c>
      <c r="AM51" s="12">
        <f t="shared" si="20"/>
        <v>3.61E-2</v>
      </c>
      <c r="AN51" s="30">
        <f>(1+Table2[[#This Row],[Salary growth]])*(1+AN50)-1</f>
        <v>2.1278070135413447</v>
      </c>
      <c r="AO51" s="16">
        <f t="shared" si="12"/>
        <v>18.721030147913673</v>
      </c>
      <c r="AP51" s="18">
        <f t="shared" si="13"/>
        <v>24.337339192287779</v>
      </c>
      <c r="AQ51" s="18">
        <f>AQ50*(1+Table2[[#This Row],[Salary growth]])</f>
        <v>31.27807013541344</v>
      </c>
      <c r="AR51" s="20">
        <f t="shared" si="14"/>
        <v>40.661491176037501</v>
      </c>
      <c r="AS51" s="25">
        <f t="shared" si="15"/>
        <v>182.92558236657416</v>
      </c>
    </row>
    <row r="52" spans="1:45" x14ac:dyDescent="0.35">
      <c r="A52" s="8">
        <v>2046</v>
      </c>
      <c r="B52" s="61"/>
      <c r="C52" s="61"/>
      <c r="D52" s="61"/>
      <c r="E52" s="40">
        <v>6.0999999999999999E-2</v>
      </c>
      <c r="F52" s="17">
        <f>F51*(1+Table2[[#This Row],[2008 discount rate]])</f>
        <v>319.76151953642398</v>
      </c>
      <c r="G52" s="19">
        <v>6.0999999999999999E-2</v>
      </c>
      <c r="H52" s="17">
        <f>H51*(1+Table2[[#This Row],[2011 discount rate]])</f>
        <v>262.76763355279292</v>
      </c>
      <c r="I52" s="19">
        <v>5.1999999999999998E-2</v>
      </c>
      <c r="J52" s="17">
        <f>J51*(1+Table2[[#This Row],[2014 discount rate]])</f>
        <v>211.163533904654</v>
      </c>
      <c r="K52" s="10">
        <v>3.1699999999999999E-2</v>
      </c>
      <c r="L52" s="19">
        <f t="shared" si="19"/>
        <v>1.6115164646561708</v>
      </c>
      <c r="M52" s="18">
        <f t="shared" si="16"/>
        <v>156.69098787937025</v>
      </c>
      <c r="N52" s="18">
        <f>Table2[[#This Row],[Asset growth A1]]/(1+Table2[[#This Row],[Compounded CPI]])</f>
        <v>82.485310888977921</v>
      </c>
      <c r="O52" s="18">
        <f>O51*(1+Table2[[#This Row],[Discount rate A1]])+0.5*(1+Table2[[#This Row],[Compounded salary growth]])</f>
        <v>201.50206884266967</v>
      </c>
      <c r="P52" s="10">
        <f>Table2[[#This Row],[CPI]]+1.7%</f>
        <v>3.1699999999999999E-2</v>
      </c>
      <c r="Q52" s="19">
        <f t="shared" si="17"/>
        <v>1.4799516863021616</v>
      </c>
      <c r="R52" s="18">
        <f t="shared" si="4"/>
        <v>148.79710117812968</v>
      </c>
      <c r="S52" s="18">
        <f>Table2[[#This Row],[Asset growth A2]]/(1+Table2[Compounded CPI])</f>
        <v>78.32980898368983</v>
      </c>
      <c r="T52" s="17">
        <f>Table2[[#This Row],[Asset growth A1]]-Table2[[#This Row],[Asset growth A2]]</f>
        <v>7.8938867012405751</v>
      </c>
      <c r="U52" s="17">
        <f t="shared" si="5"/>
        <v>3.0227213988788213</v>
      </c>
      <c r="V52" s="17">
        <f>Table2[[#This Row],[Difference in assets (A2 - A1)]]/(1+Table2[[#This Row],[Compounded CPI]])</f>
        <v>4.155501905288097</v>
      </c>
      <c r="W52" s="40">
        <f t="shared" si="22"/>
        <v>4.2699999999999995E-2</v>
      </c>
      <c r="X52" s="17">
        <f t="shared" si="7"/>
        <v>180.5856877916469</v>
      </c>
      <c r="Y52" s="17">
        <f>Table2[[#This Row],[Asset growth B]]/(1+Table2[Compounded CPI])</f>
        <v>95.063965076673341</v>
      </c>
      <c r="Z52" s="17">
        <f>Z51*(1+Table2[[#This Row],[Discount rate B]])+0.5*(1+Table2[[#This Row],[Compounded salary growth]])</f>
        <v>230.35108542540706</v>
      </c>
      <c r="AA52" s="17">
        <f t="shared" si="8"/>
        <v>23.89469991227665</v>
      </c>
      <c r="AB52" s="17">
        <f t="shared" si="9"/>
        <v>9.1497412463844441</v>
      </c>
      <c r="AC52" s="17">
        <f>Table2[[#This Row],[Difference in assets (B - A1)]]/(1+Table2[[#This Row],[Compounded CPI]])</f>
        <v>12.57865418769542</v>
      </c>
      <c r="AD52" s="17">
        <f t="shared" si="2"/>
        <v>31.788586613517225</v>
      </c>
      <c r="AE52" s="17">
        <f t="shared" si="10"/>
        <v>12.818228189322898</v>
      </c>
      <c r="AF52" s="17">
        <f>Table2[[#This Row],[Difference in assets (B - A2)]]/(1+Table2[[#This Row],[Compounded CPI]])</f>
        <v>16.734156092983518</v>
      </c>
      <c r="AG52" s="40">
        <v>3.1699999999999999E-2</v>
      </c>
      <c r="AH52" s="17">
        <f t="shared" si="18"/>
        <v>169.55156008731282</v>
      </c>
      <c r="AI52" s="17">
        <f t="shared" si="3"/>
        <v>12.860572207942568</v>
      </c>
      <c r="AJ52" s="41">
        <f t="shared" si="11"/>
        <v>4.9245610288104293</v>
      </c>
      <c r="AK52" s="10">
        <v>1.47E-2</v>
      </c>
      <c r="AL52" s="12">
        <f>(1+Table2[[#This Row],[CPI]])*(1+AL51)-1</f>
        <v>0.89962292910880026</v>
      </c>
      <c r="AM52" s="12">
        <f t="shared" si="20"/>
        <v>3.4700000000000002E-2</v>
      </c>
      <c r="AN52" s="30">
        <f>(1+Table2[[#This Row],[Salary growth]])*(1+AN51)-1</f>
        <v>2.2363419169112291</v>
      </c>
      <c r="AO52" s="16">
        <f t="shared" si="12"/>
        <v>18.996229291088003</v>
      </c>
      <c r="AP52" s="18">
        <f t="shared" si="13"/>
        <v>24.695098078414407</v>
      </c>
      <c r="AQ52" s="18">
        <f>AQ51*(1+Table2[[#This Row],[Salary growth]])</f>
        <v>32.363419169112284</v>
      </c>
      <c r="AR52" s="20">
        <f t="shared" si="14"/>
        <v>42.072444919845999</v>
      </c>
      <c r="AS52" s="25">
        <f t="shared" si="15"/>
        <v>188.72432332759456</v>
      </c>
    </row>
    <row r="53" spans="1:45" x14ac:dyDescent="0.35">
      <c r="A53" s="8">
        <v>2047</v>
      </c>
      <c r="B53" s="61"/>
      <c r="C53" s="61"/>
      <c r="D53" s="61"/>
      <c r="E53" s="40">
        <v>6.0999999999999999E-2</v>
      </c>
      <c r="F53" s="17">
        <f>F52*(1+Table2[[#This Row],[2008 discount rate]])</f>
        <v>339.26697222814585</v>
      </c>
      <c r="G53" s="19">
        <v>6.0999999999999999E-2</v>
      </c>
      <c r="H53" s="17">
        <f>H52*(1+Table2[[#This Row],[2011 discount rate]])</f>
        <v>278.79645919951327</v>
      </c>
      <c r="I53" s="19">
        <v>5.1999999999999998E-2</v>
      </c>
      <c r="J53" s="17">
        <f>J52*(1+Table2[[#This Row],[2014 discount rate]])</f>
        <v>222.14403766769601</v>
      </c>
      <c r="K53" s="10">
        <v>3.0499999999999999E-2</v>
      </c>
      <c r="L53" s="19">
        <f t="shared" si="19"/>
        <v>1.691167716828184</v>
      </c>
      <c r="M53" s="18">
        <f t="shared" si="16"/>
        <v>161.47006300969105</v>
      </c>
      <c r="N53" s="18">
        <f>Table2[[#This Row],[Asset growth A1]]/(1+Table2[[#This Row],[Compounded CPI]])</f>
        <v>83.868882951249873</v>
      </c>
      <c r="O53" s="18">
        <f>O52*(1+Table2[[#This Row],[Discount rate A1]])+0.5*(1+Table2[[#This Row],[Compounded salary growth]])</f>
        <v>209.32026162793497</v>
      </c>
      <c r="P53" s="10">
        <f>Table2[[#This Row],[CPI]]+1.7%</f>
        <v>3.0499999999999999E-2</v>
      </c>
      <c r="Q53" s="19">
        <f t="shared" si="17"/>
        <v>1.5555902127343773</v>
      </c>
      <c r="R53" s="18">
        <f t="shared" si="4"/>
        <v>153.33541276406262</v>
      </c>
      <c r="S53" s="18">
        <f>Table2[[#This Row],[Asset growth A2]]/(1+Table2[Compounded CPI])</f>
        <v>79.643678497969759</v>
      </c>
      <c r="T53" s="17">
        <f>Table2[[#This Row],[Asset growth A1]]-Table2[[#This Row],[Asset growth A2]]</f>
        <v>8.1346502456284213</v>
      </c>
      <c r="U53" s="17">
        <f t="shared" si="5"/>
        <v>3.0227213988788248</v>
      </c>
      <c r="V53" s="17">
        <f>Table2[[#This Row],[Difference in assets (A2 - A1)]]/(1+Table2[[#This Row],[Compounded CPI]])</f>
        <v>4.2252044532801065</v>
      </c>
      <c r="W53" s="40">
        <f t="shared" si="22"/>
        <v>4.1499999999999995E-2</v>
      </c>
      <c r="X53" s="17">
        <f t="shared" si="7"/>
        <v>188.07999383500027</v>
      </c>
      <c r="Y53" s="17">
        <f>Table2[[#This Row],[Asset growth B]]/(1+Table2[Compounded CPI])</f>
        <v>97.690300569664814</v>
      </c>
      <c r="Z53" s="17">
        <f>Z52*(1+Table2[[#This Row],[Discount rate B]])+0.5*(1+Table2[[#This Row],[Compounded salary growth]])</f>
        <v>241.58303515612533</v>
      </c>
      <c r="AA53" s="17">
        <f t="shared" si="8"/>
        <v>26.60993082530922</v>
      </c>
      <c r="AB53" s="17">
        <f t="shared" si="9"/>
        <v>9.8878753111202382</v>
      </c>
      <c r="AC53" s="17">
        <f>Table2[[#This Row],[Difference in assets (B - A1)]]/(1+Table2[[#This Row],[Compounded CPI]])</f>
        <v>13.821417618414943</v>
      </c>
      <c r="AD53" s="17">
        <f t="shared" si="2"/>
        <v>34.744581070937642</v>
      </c>
      <c r="AE53" s="17">
        <f t="shared" si="10"/>
        <v>13.595521260727617</v>
      </c>
      <c r="AF53" s="17">
        <f>Table2[[#This Row],[Difference in assets (B - A2)]]/(1+Table2[[#This Row],[Compounded CPI]])</f>
        <v>18.046622071695051</v>
      </c>
      <c r="AG53" s="40">
        <v>3.0499999999999999E-2</v>
      </c>
      <c r="AH53" s="17">
        <f t="shared" si="18"/>
        <v>174.72288266997586</v>
      </c>
      <c r="AI53" s="17">
        <f t="shared" si="3"/>
        <v>13.252819660284814</v>
      </c>
      <c r="AJ53" s="42">
        <f t="shared" si="11"/>
        <v>4.9245610288104285</v>
      </c>
      <c r="AK53" s="10">
        <v>1.35E-2</v>
      </c>
      <c r="AL53" s="12">
        <f>(1+Table2[[#This Row],[CPI]])*(1+AL52)-1</f>
        <v>0.9252678386517692</v>
      </c>
      <c r="AM53" s="12">
        <f t="shared" si="20"/>
        <v>3.3500000000000002E-2</v>
      </c>
      <c r="AN53" s="30">
        <f>(1+Table2[[#This Row],[Salary growth]])*(1+AN52)-1</f>
        <v>2.3447593711277555</v>
      </c>
      <c r="AO53" s="16">
        <f t="shared" si="12"/>
        <v>19.252678386517694</v>
      </c>
      <c r="AP53" s="18">
        <f t="shared" si="13"/>
        <v>25.028481902473004</v>
      </c>
      <c r="AQ53" s="18">
        <f>AQ52*(1+Table2[[#This Row],[Salary growth]])</f>
        <v>33.447593711277548</v>
      </c>
      <c r="AR53" s="20">
        <f t="shared" si="14"/>
        <v>43.481871824660843</v>
      </c>
      <c r="AS53" s="25">
        <f t="shared" si="15"/>
        <v>194.48041518908619</v>
      </c>
    </row>
    <row r="54" spans="1:45" x14ac:dyDescent="0.35">
      <c r="A54" s="8">
        <v>2048</v>
      </c>
      <c r="B54" s="61"/>
      <c r="C54" s="61"/>
      <c r="D54" s="61"/>
      <c r="E54" s="40">
        <v>6.0999999999999999E-2</v>
      </c>
      <c r="F54" s="17">
        <f>F53*(1+Table2[[#This Row],[2008 discount rate]])</f>
        <v>359.9622575340627</v>
      </c>
      <c r="G54" s="19">
        <v>6.0999999999999999E-2</v>
      </c>
      <c r="H54" s="17">
        <f>H53*(1+Table2[[#This Row],[2011 discount rate]])</f>
        <v>295.80304321068354</v>
      </c>
      <c r="I54" s="19">
        <v>5.1999999999999998E-2</v>
      </c>
      <c r="J54" s="17">
        <f>J53*(1+Table2[[#This Row],[2014 discount rate]])</f>
        <v>233.69552762641621</v>
      </c>
      <c r="K54" s="10">
        <v>2.9600000000000001E-2</v>
      </c>
      <c r="L54" s="19">
        <f t="shared" si="19"/>
        <v>1.7708262812462983</v>
      </c>
      <c r="M54" s="18">
        <f t="shared" si="16"/>
        <v>166.24957687477792</v>
      </c>
      <c r="N54" s="18">
        <f>Table2[[#This Row],[Asset growth A1]]/(1+Table2[[#This Row],[Compounded CPI]])</f>
        <v>85.276912785509452</v>
      </c>
      <c r="O54" s="18">
        <f>O53*(1+Table2[[#This Row],[Discount rate A1]])+0.5*(1+Table2[[#This Row],[Compounded salary growth]])</f>
        <v>217.24304063543514</v>
      </c>
      <c r="P54" s="10">
        <f>Table2[[#This Row],[CPI]]+1.7%</f>
        <v>2.9600000000000001E-2</v>
      </c>
      <c r="Q54" s="19">
        <f t="shared" si="17"/>
        <v>1.6312356830313148</v>
      </c>
      <c r="R54" s="18">
        <f t="shared" si="4"/>
        <v>157.8741409818789</v>
      </c>
      <c r="S54" s="18">
        <f>Table2[[#This Row],[Asset growth A2]]/(1+Table2[Compounded CPI])</f>
        <v>80.980773633724752</v>
      </c>
      <c r="T54" s="17">
        <f>Table2[[#This Row],[Asset growth A1]]-Table2[[#This Row],[Asset growth A2]]</f>
        <v>8.37543589289902</v>
      </c>
      <c r="U54" s="17">
        <f t="shared" si="5"/>
        <v>3.022721398878824</v>
      </c>
      <c r="V54" s="17">
        <f>Table2[[#This Row],[Difference in assets (A2 - A1)]]/(1+Table2[[#This Row],[Compounded CPI]])</f>
        <v>4.2961391517847094</v>
      </c>
      <c r="W54" s="40">
        <f t="shared" si="22"/>
        <v>4.0599999999999997E-2</v>
      </c>
      <c r="X54" s="17">
        <f t="shared" si="7"/>
        <v>195.71604158470126</v>
      </c>
      <c r="Y54" s="17">
        <f>Table2[[#This Row],[Asset growth B]]/(1+Table2[Compounded CPI])</f>
        <v>100.3915927047138</v>
      </c>
      <c r="Z54" s="17">
        <f>Z53*(1+Table2[[#This Row],[Discount rate B]])+0.5*(1+Table2[[#This Row],[Compounded salary growth]])</f>
        <v>253.11820564677728</v>
      </c>
      <c r="AA54" s="17">
        <f t="shared" si="8"/>
        <v>29.466464709923343</v>
      </c>
      <c r="AB54" s="17">
        <f t="shared" si="9"/>
        <v>10.634540645640742</v>
      </c>
      <c r="AC54" s="17">
        <f>Table2[[#This Row],[Difference in assets (B - A1)]]/(1+Table2[[#This Row],[Compounded CPI]])</f>
        <v>15.114679919204347</v>
      </c>
      <c r="AD54" s="17">
        <f t="shared" si="2"/>
        <v>37.841900602822363</v>
      </c>
      <c r="AE54" s="17">
        <f t="shared" si="10"/>
        <v>14.38179819727384</v>
      </c>
      <c r="AF54" s="17">
        <f>Table2[[#This Row],[Difference in assets (B - A2)]]/(1+Table2[[#This Row],[Compounded CPI]])</f>
        <v>19.410819070989056</v>
      </c>
      <c r="AG54" s="40">
        <v>2.9600000000000001E-2</v>
      </c>
      <c r="AH54" s="17">
        <f t="shared" si="18"/>
        <v>179.89467999700716</v>
      </c>
      <c r="AI54" s="17">
        <f t="shared" si="3"/>
        <v>13.645103122229244</v>
      </c>
      <c r="AJ54" s="41">
        <f t="shared" si="11"/>
        <v>4.9245610288104285</v>
      </c>
      <c r="AK54" s="10">
        <v>1.26E-2</v>
      </c>
      <c r="AL54" s="12">
        <f>(1+Table2[[#This Row],[CPI]])*(1+AL53)-1</f>
        <v>0.94952621341878141</v>
      </c>
      <c r="AM54" s="12">
        <f t="shared" si="20"/>
        <v>3.2600000000000004E-2</v>
      </c>
      <c r="AN54" s="30">
        <f>(1+Table2[[#This Row],[Salary growth]])*(1+AN53)-1</f>
        <v>2.4537985266265201</v>
      </c>
      <c r="AO54" s="16">
        <f t="shared" si="12"/>
        <v>19.495262134187815</v>
      </c>
      <c r="AP54" s="18">
        <f t="shared" si="13"/>
        <v>25.343840774444164</v>
      </c>
      <c r="AQ54" s="18">
        <f>AQ53*(1+Table2[[#This Row],[Salary growth]])</f>
        <v>34.537985266265196</v>
      </c>
      <c r="AR54" s="20">
        <f t="shared" si="14"/>
        <v>44.899380846144787</v>
      </c>
      <c r="AS54" s="25">
        <f t="shared" si="15"/>
        <v>200.23703547868314</v>
      </c>
    </row>
    <row r="55" spans="1:45" x14ac:dyDescent="0.35">
      <c r="A55" s="8">
        <v>2049</v>
      </c>
      <c r="B55" s="61"/>
      <c r="C55" s="61"/>
      <c r="D55" s="61"/>
      <c r="E55" s="40">
        <v>6.0999999999999999E-2</v>
      </c>
      <c r="F55" s="17">
        <f>F54*(1+Table2[[#This Row],[2008 discount rate]])</f>
        <v>381.91995524364052</v>
      </c>
      <c r="G55" s="19">
        <v>6.0999999999999999E-2</v>
      </c>
      <c r="H55" s="17">
        <f>H54*(1+Table2[[#This Row],[2011 discount rate]])</f>
        <v>313.84702884653524</v>
      </c>
      <c r="I55" s="19">
        <v>5.1999999999999998E-2</v>
      </c>
      <c r="J55" s="17">
        <f>J54*(1+Table2[[#This Row],[2014 discount rate]])</f>
        <v>245.84769506298986</v>
      </c>
      <c r="K55" s="10">
        <v>2.9000000000000001E-2</v>
      </c>
      <c r="L55" s="19">
        <f t="shared" si="19"/>
        <v>1.8511802434024407</v>
      </c>
      <c r="M55" s="18">
        <f t="shared" si="16"/>
        <v>171.07081460414645</v>
      </c>
      <c r="N55" s="18">
        <f>Table2[[#This Row],[Asset growth A1]]/(1+Table2[[#This Row],[Compounded CPI]])</f>
        <v>86.709430095147454</v>
      </c>
      <c r="O55" s="18">
        <f>O54*(1+Table2[[#This Row],[Discount rate A1]])+0.5*(1+Table2[[#This Row],[Compounded salary growth]])</f>
        <v>225.32524885360203</v>
      </c>
      <c r="P55" s="10">
        <f>Table2[[#This Row],[CPI]]+1.7%</f>
        <v>2.9000000000000001E-2</v>
      </c>
      <c r="Q55" s="19">
        <f t="shared" si="17"/>
        <v>1.7075415178392226</v>
      </c>
      <c r="R55" s="18">
        <f t="shared" si="4"/>
        <v>162.45249107035337</v>
      </c>
      <c r="S55" s="18">
        <f>Table2[[#This Row],[Asset growth A2]]/(1+Table2[Compounded CPI])</f>
        <v>82.341122597927622</v>
      </c>
      <c r="T55" s="17">
        <f>Table2[[#This Row],[Asset growth A1]]-Table2[[#This Row],[Asset growth A2]]</f>
        <v>8.6183235337930739</v>
      </c>
      <c r="U55" s="17">
        <f t="shared" si="5"/>
        <v>3.0227213988788177</v>
      </c>
      <c r="V55" s="17">
        <f>Table2[[#This Row],[Difference in assets (A2 - A1)]]/(1+Table2[[#This Row],[Compounded CPI]])</f>
        <v>4.3683074972198188</v>
      </c>
      <c r="W55" s="40">
        <f t="shared" si="22"/>
        <v>3.9999999999999994E-2</v>
      </c>
      <c r="X55" s="17">
        <f t="shared" si="7"/>
        <v>203.54468324808931</v>
      </c>
      <c r="Y55" s="17">
        <f>Table2[[#This Row],[Asset growth B]]/(1+Table2[Compounded CPI])</f>
        <v>103.16922570444898</v>
      </c>
      <c r="Z55" s="17">
        <f>Z54*(1+Table2[[#This Row],[Discount rate B]])+0.5*(1+Table2[[#This Row],[Compounded salary growth]])</f>
        <v>265.02509391238766</v>
      </c>
      <c r="AA55" s="17">
        <f t="shared" si="8"/>
        <v>32.473868643942865</v>
      </c>
      <c r="AB55" s="17">
        <f t="shared" si="9"/>
        <v>11.389623198703967</v>
      </c>
      <c r="AC55" s="17">
        <f>Table2[[#This Row],[Difference in assets (B - A1)]]/(1+Table2[[#This Row],[Compounded CPI]])</f>
        <v>16.459795609301523</v>
      </c>
      <c r="AD55" s="17">
        <f t="shared" ref="AD55:AD73" si="23">X55-R55</f>
        <v>41.092192177735939</v>
      </c>
      <c r="AE55" s="17">
        <f t="shared" si="10"/>
        <v>15.176938897147522</v>
      </c>
      <c r="AF55" s="17">
        <f>Table2[[#This Row],[Difference in assets (B - A2)]]/(1+Table2[[#This Row],[Compounded CPI]])</f>
        <v>20.82810310652134</v>
      </c>
      <c r="AG55" s="40">
        <v>2.9000000000000001E-2</v>
      </c>
      <c r="AH55" s="17">
        <f t="shared" si="18"/>
        <v>185.11162571692034</v>
      </c>
      <c r="AI55" s="17">
        <f t="shared" ref="AI55:AI73" si="24">AH55-M55</f>
        <v>14.040811112773895</v>
      </c>
      <c r="AJ55" s="41">
        <f t="shared" si="11"/>
        <v>4.9245610288104293</v>
      </c>
      <c r="AK55" s="10">
        <v>1.2E-2</v>
      </c>
      <c r="AL55" s="12">
        <f>(1+Table2[[#This Row],[CPI]])*(1+AL54)-1</f>
        <v>0.97292052797980677</v>
      </c>
      <c r="AM55" s="12">
        <f t="shared" si="20"/>
        <v>3.2000000000000001E-2</v>
      </c>
      <c r="AN55" s="30">
        <f>(1+Table2[[#This Row],[Salary growth]])*(1+AN54)-1</f>
        <v>2.564320079478569</v>
      </c>
      <c r="AO55" s="16">
        <f t="shared" si="12"/>
        <v>19.729205279798069</v>
      </c>
      <c r="AP55" s="18">
        <f t="shared" si="13"/>
        <v>25.647966863737494</v>
      </c>
      <c r="AQ55" s="18">
        <f>AQ54*(1+Table2[[#This Row],[Salary growth]])</f>
        <v>35.643200794785685</v>
      </c>
      <c r="AR55" s="20">
        <f t="shared" si="14"/>
        <v>46.336161033221423</v>
      </c>
      <c r="AS55" s="25">
        <f t="shared" si="15"/>
        <v>206.04390950756493</v>
      </c>
    </row>
    <row r="56" spans="1:45" s="46" customFormat="1" x14ac:dyDescent="0.35">
      <c r="A56" s="67">
        <v>2050</v>
      </c>
      <c r="B56" s="68"/>
      <c r="C56" s="68"/>
      <c r="D56" s="68"/>
      <c r="E56" s="69">
        <v>6.0999999999999999E-2</v>
      </c>
      <c r="F56" s="70">
        <f>F55*(1+Table2[[#This Row],[2008 discount rate]])</f>
        <v>405.21707251350256</v>
      </c>
      <c r="G56" s="71">
        <v>6.0999999999999999E-2</v>
      </c>
      <c r="H56" s="70">
        <f>H55*(1+Table2[[#This Row],[2011 discount rate]])</f>
        <v>332.99169760617389</v>
      </c>
      <c r="I56" s="71">
        <v>5.1999999999999998E-2</v>
      </c>
      <c r="J56" s="70">
        <f>J55*(1+Table2[[#This Row],[2014 discount rate]])</f>
        <v>258.63177520626533</v>
      </c>
      <c r="K56" s="72">
        <v>2.86E-2</v>
      </c>
      <c r="L56" s="71">
        <f t="shared" si="19"/>
        <v>1.9327239983637505</v>
      </c>
      <c r="M56" s="73">
        <f t="shared" ref="M56:M73" si="25">M55*(1+K56)</f>
        <v>175.96343990182504</v>
      </c>
      <c r="N56" s="73">
        <f>Table2[[#This Row],[Asset growth A1]]/(1+Table2[[#This Row],[Compounded CPI]])</f>
        <v>88.166587382234738</v>
      </c>
      <c r="O56" s="73">
        <f>O55*(1+Table2[[#This Row],[Discount rate A1]])+0.5*(1+Table2[[#This Row],[Compounded salary growth]])</f>
        <v>233.60802726781009</v>
      </c>
      <c r="P56" s="72">
        <f>Table2[[#This Row],[CPI]]+1.7%</f>
        <v>2.86E-2</v>
      </c>
      <c r="Q56" s="71">
        <f t="shared" si="17"/>
        <v>1.7849772052494242</v>
      </c>
      <c r="R56" s="73">
        <f t="shared" ref="R56:R73" si="26">R55*(1+P56)</f>
        <v>167.09863231496547</v>
      </c>
      <c r="S56" s="73">
        <f>Table2[[#This Row],[Asset growth A2]]/(1+Table2[Compounded CPI])</f>
        <v>83.72487020979473</v>
      </c>
      <c r="T56" s="70">
        <f>Table2[[#This Row],[Asset growth A1]]-Table2[[#This Row],[Asset growth A2]]</f>
        <v>8.8648075868595697</v>
      </c>
      <c r="U56" s="70">
        <f t="shared" ref="U56:U73" si="27">T56/(1+L56)</f>
        <v>3.0227213988788226</v>
      </c>
      <c r="V56" s="70">
        <f>Table2[[#This Row],[Difference in assets (A2 - A1)]]/(1+Table2[[#This Row],[Compounded CPI]])</f>
        <v>4.4417171724400086</v>
      </c>
      <c r="W56" s="69">
        <f t="shared" si="22"/>
        <v>3.9599999999999996E-2</v>
      </c>
      <c r="X56" s="70">
        <f t="shared" ref="X56:X73" si="28">X55*(1+W56)</f>
        <v>211.60505270471367</v>
      </c>
      <c r="Y56" s="73">
        <f>Table2[[#This Row],[Asset growth B]]/(1+Table2[Compounded CPI])</f>
        <v>106.02483891097782</v>
      </c>
      <c r="Z56" s="70">
        <f>Z55*(1+Table2[[#This Row],[Discount rate B]])+0.5*(1+Table2[[#This Row],[Compounded salary growth]])</f>
        <v>277.35856392831329</v>
      </c>
      <c r="AA56" s="70">
        <f t="shared" ref="AA56:AA73" si="29">X56-M56</f>
        <v>35.641612802888631</v>
      </c>
      <c r="AB56" s="70">
        <f t="shared" ref="AB56:AB73" si="30">AA56/(1+L56)</f>
        <v>12.153074350935885</v>
      </c>
      <c r="AC56" s="70">
        <f>Table2[[#This Row],[Difference in assets (B - A1)]]/(1+Table2[[#This Row],[Compounded CPI]])</f>
        <v>17.858251528743075</v>
      </c>
      <c r="AD56" s="70">
        <f t="shared" si="23"/>
        <v>44.5064203897482</v>
      </c>
      <c r="AE56" s="70">
        <f t="shared" ref="AE56:AE73" si="31">AD56/(1+Q56)</f>
        <v>15.980892161651347</v>
      </c>
      <c r="AF56" s="70">
        <f>Table2[[#This Row],[Difference in assets (B - A2)]]/(1+Table2[[#This Row],[Compounded CPI]])</f>
        <v>22.299968701183083</v>
      </c>
      <c r="AG56" s="69">
        <v>2.86E-2</v>
      </c>
      <c r="AH56" s="70">
        <f t="shared" si="18"/>
        <v>190.40581821242426</v>
      </c>
      <c r="AI56" s="70">
        <f t="shared" si="24"/>
        <v>14.442378310599224</v>
      </c>
      <c r="AJ56" s="74">
        <f t="shared" ref="AJ56:AJ73" si="32">AI56/(1+L56)</f>
        <v>4.9245610288104285</v>
      </c>
      <c r="AK56" s="72">
        <v>1.1599999999999999E-2</v>
      </c>
      <c r="AL56" s="75">
        <f>(1+Table2[[#This Row],[CPI]])*(1+AL55)-1</f>
        <v>0.99580640610437254</v>
      </c>
      <c r="AM56" s="75">
        <f t="shared" si="20"/>
        <v>3.1600000000000003E-2</v>
      </c>
      <c r="AN56" s="76">
        <f>(1+Table2[[#This Row],[Salary growth]])*(1+AN55)-1</f>
        <v>2.6769525939900922</v>
      </c>
      <c r="AO56" s="77">
        <f t="shared" ref="AO56:AO73" si="33">AO55*(1+AK56)</f>
        <v>19.958064061043729</v>
      </c>
      <c r="AP56" s="73">
        <f t="shared" ref="AP56:AP73" si="34">AP55*(1+AK56)</f>
        <v>25.94548327935685</v>
      </c>
      <c r="AQ56" s="73">
        <f>AQ55*(1+Table2[[#This Row],[Salary growth]])</f>
        <v>36.769525939900916</v>
      </c>
      <c r="AR56" s="78">
        <f t="shared" ref="AR56:AR73" si="35">AR55*(1+AM56)</f>
        <v>47.800383721871221</v>
      </c>
      <c r="AS56" s="79">
        <f t="shared" ref="AS56:AS73" si="36">AS55*(1+P56)</f>
        <v>211.93676531948128</v>
      </c>
    </row>
    <row r="57" spans="1:45" x14ac:dyDescent="0.35">
      <c r="A57" s="8">
        <v>2051</v>
      </c>
      <c r="B57" s="61"/>
      <c r="C57" s="61"/>
      <c r="D57" s="61"/>
      <c r="E57" s="40">
        <v>6.0999999999999999E-2</v>
      </c>
      <c r="F57" s="17">
        <f>F56*(1+Table2[[#This Row],[2008 discount rate]])</f>
        <v>429.93531393682622</v>
      </c>
      <c r="G57" s="19">
        <v>6.0999999999999999E-2</v>
      </c>
      <c r="H57" s="17">
        <f>H56*(1+Table2[[#This Row],[2011 discount rate]])</f>
        <v>353.30419116015048</v>
      </c>
      <c r="I57" s="19">
        <v>5.1999999999999998E-2</v>
      </c>
      <c r="J57" s="17">
        <f>J56*(1+Table2[[#This Row],[2014 discount rate]])</f>
        <v>272.08062751699111</v>
      </c>
      <c r="K57" s="10">
        <v>2.8400000000000002E-2</v>
      </c>
      <c r="L57" s="19">
        <f t="shared" si="19"/>
        <v>2.0160133599172809</v>
      </c>
      <c r="M57" s="18">
        <f t="shared" si="25"/>
        <v>180.96080159503686</v>
      </c>
      <c r="N57" s="18">
        <f>Table2[[#This Row],[Asset growth A1]]/(1+Table2[[#This Row],[Compounded CPI]])</f>
        <v>89.648525275746678</v>
      </c>
      <c r="O57" s="18">
        <f>O56*(1+Table2[[#This Row],[Discount rate A1]])+0.5*(1+Table2[[#This Row],[Compounded salary growth]])</f>
        <v>242.13869969493658</v>
      </c>
      <c r="P57" s="10">
        <f>Table2[[#This Row],[CPI]]+1.7%</f>
        <v>2.8400000000000002E-2</v>
      </c>
      <c r="Q57" s="19">
        <f t="shared" ref="Q57:Q73" si="37">(1+Q56)*(1+P57)-1</f>
        <v>1.8640705578785077</v>
      </c>
      <c r="R57" s="18">
        <f t="shared" si="26"/>
        <v>171.8442334727105</v>
      </c>
      <c r="S57" s="18">
        <f>Table2[[#This Row],[Asset growth A2]]/(1+Table2[Compounded CPI])</f>
        <v>85.132150013597894</v>
      </c>
      <c r="T57" s="17">
        <f>Table2[[#This Row],[Asset growth A1]]-Table2[[#This Row],[Asset growth A2]]</f>
        <v>9.1165681223263562</v>
      </c>
      <c r="U57" s="17">
        <f t="shared" si="27"/>
        <v>3.0227213988788142</v>
      </c>
      <c r="V57" s="17">
        <f>Table2[[#This Row],[Difference in assets (A2 - A1)]]/(1+Table2[[#This Row],[Compounded CPI]])</f>
        <v>4.516375262148796</v>
      </c>
      <c r="W57" s="40">
        <f t="shared" si="22"/>
        <v>3.9399999999999998E-2</v>
      </c>
      <c r="X57" s="17">
        <f t="shared" si="28"/>
        <v>219.94229178127941</v>
      </c>
      <c r="Y57" s="17">
        <f>Table2[[#This Row],[Asset growth B]]/(1+Table2[Compounded CPI])</f>
        <v>108.96007273489256</v>
      </c>
      <c r="Z57" s="17">
        <f>Z56*(1+Table2[[#This Row],[Discount rate B]])+0.5*(1+Table2[[#This Row],[Compounded salary growth]])</f>
        <v>290.18269579980955</v>
      </c>
      <c r="AA57" s="17">
        <f t="shared" si="29"/>
        <v>38.981490186242553</v>
      </c>
      <c r="AB57" s="17">
        <f t="shared" si="30"/>
        <v>12.924840023689976</v>
      </c>
      <c r="AC57" s="17">
        <f>Table2[[#This Row],[Difference in assets (B - A1)]]/(1+Table2[[#This Row],[Compounded CPI]])</f>
        <v>19.311547459145885</v>
      </c>
      <c r="AD57" s="17">
        <f t="shared" si="23"/>
        <v>48.098058308568909</v>
      </c>
      <c r="AE57" s="17">
        <f t="shared" si="31"/>
        <v>16.793601043193714</v>
      </c>
      <c r="AF57" s="17">
        <f>Table2[[#This Row],[Difference in assets (B - A2)]]/(1+Table2[[#This Row],[Compounded CPI]])</f>
        <v>23.827922721294684</v>
      </c>
      <c r="AG57" s="40">
        <v>2.8400000000000002E-2</v>
      </c>
      <c r="AH57" s="17">
        <f t="shared" si="18"/>
        <v>195.81334344965711</v>
      </c>
      <c r="AI57" s="17">
        <f t="shared" si="24"/>
        <v>14.852541854620256</v>
      </c>
      <c r="AJ57" s="41">
        <f t="shared" si="32"/>
        <v>4.9245610288104329</v>
      </c>
      <c r="AK57" s="10">
        <v>1.14E-2</v>
      </c>
      <c r="AL57" s="12">
        <f>(1+Table2[[#This Row],[CPI]])*(1+AL56)-1</f>
        <v>1.0185585991339625</v>
      </c>
      <c r="AM57" s="12">
        <f t="shared" si="20"/>
        <v>3.1399999999999997E-2</v>
      </c>
      <c r="AN57" s="30">
        <f>(1+Table2[[#This Row],[Salary growth]])*(1+AN56)-1</f>
        <v>2.7924089054413814</v>
      </c>
      <c r="AO57" s="16">
        <f t="shared" si="33"/>
        <v>20.185585991339629</v>
      </c>
      <c r="AP57" s="18">
        <f t="shared" si="34"/>
        <v>26.241261788741522</v>
      </c>
      <c r="AQ57" s="18">
        <f>AQ56*(1+Table2[[#This Row],[Salary growth]])</f>
        <v>37.924089054413805</v>
      </c>
      <c r="AR57" s="20">
        <f t="shared" si="35"/>
        <v>49.301315770737979</v>
      </c>
      <c r="AS57" s="25">
        <f t="shared" si="36"/>
        <v>217.95576945455454</v>
      </c>
    </row>
    <row r="58" spans="1:45" x14ac:dyDescent="0.35">
      <c r="A58" s="8">
        <v>2052</v>
      </c>
      <c r="B58" s="61"/>
      <c r="C58" s="61"/>
      <c r="D58" s="61"/>
      <c r="E58" s="40">
        <v>6.0999999999999999E-2</v>
      </c>
      <c r="F58" s="17">
        <f>F57*(1+Table2[[#This Row],[2008 discount rate]])</f>
        <v>456.16136808697257</v>
      </c>
      <c r="G58" s="19">
        <v>6.0999999999999999E-2</v>
      </c>
      <c r="H58" s="17">
        <f>H57*(1+Table2[[#This Row],[2011 discount rate]])</f>
        <v>374.85574682091965</v>
      </c>
      <c r="I58" s="19">
        <v>5.1999999999999998E-2</v>
      </c>
      <c r="J58" s="17">
        <f>J57*(1+Table2[[#This Row],[2014 discount rate]])</f>
        <v>286.22882014787467</v>
      </c>
      <c r="K58" s="10">
        <v>2.8500000000000001E-2</v>
      </c>
      <c r="L58" s="19">
        <f t="shared" si="19"/>
        <v>2.1019697406749231</v>
      </c>
      <c r="M58" s="18">
        <f t="shared" si="25"/>
        <v>186.11818444049541</v>
      </c>
      <c r="N58" s="18">
        <f>Table2[[#This Row],[Asset growth A1]]/(1+Table2[[#This Row],[Compounded CPI]])</f>
        <v>91.155223179540755</v>
      </c>
      <c r="O58" s="18">
        <f>O57*(1+Table2[[#This Row],[Discount rate A1]])+0.5*(1+Table2[[#This Row],[Compounded salary growth]])</f>
        <v>250.99558752922366</v>
      </c>
      <c r="P58" s="10">
        <f>Table2[[#This Row],[CPI]]+1.7%</f>
        <v>2.8500000000000001E-2</v>
      </c>
      <c r="Q58" s="19">
        <f t="shared" si="37"/>
        <v>1.945696568778045</v>
      </c>
      <c r="R58" s="18">
        <f t="shared" si="26"/>
        <v>176.74179412668275</v>
      </c>
      <c r="S58" s="18">
        <f>Table2[[#This Row],[Asset growth A2]]/(1+Table2[Compounded CPI])</f>
        <v>86.562942450801216</v>
      </c>
      <c r="T58" s="17">
        <f>Table2[[#This Row],[Asset growth A1]]-Table2[[#This Row],[Asset growth A2]]</f>
        <v>9.3763903138126636</v>
      </c>
      <c r="U58" s="17">
        <f t="shared" si="27"/>
        <v>3.0227213988788164</v>
      </c>
      <c r="V58" s="17">
        <f>Table2[[#This Row],[Difference in assets (A2 - A1)]]/(1+Table2[[#This Row],[Compounded CPI]])</f>
        <v>4.5922807287395351</v>
      </c>
      <c r="W58" s="40">
        <f t="shared" si="22"/>
        <v>3.9499999999999993E-2</v>
      </c>
      <c r="X58" s="17">
        <f t="shared" si="28"/>
        <v>228.63001230663997</v>
      </c>
      <c r="Y58" s="17">
        <f>Table2[[#This Row],[Asset growth B]]/(1+Table2[Compounded CPI])</f>
        <v>111.97626851994151</v>
      </c>
      <c r="Z58" s="17">
        <f>Z57*(1+Table2[[#This Row],[Discount rate B]])+0.5*(1+Table2[[#This Row],[Compounded salary growth]])</f>
        <v>303.60084717688346</v>
      </c>
      <c r="AA58" s="17">
        <f t="shared" si="29"/>
        <v>42.511827866144557</v>
      </c>
      <c r="AB58" s="17">
        <f t="shared" si="30"/>
        <v>13.704784836777577</v>
      </c>
      <c r="AC58" s="17">
        <f>Table2[[#This Row],[Difference in assets (B - A1)]]/(1+Table2[[#This Row],[Compounded CPI]])</f>
        <v>20.821045340400762</v>
      </c>
      <c r="AD58" s="17">
        <f t="shared" si="23"/>
        <v>51.888218179957221</v>
      </c>
      <c r="AE58" s="17">
        <f t="shared" si="31"/>
        <v>17.614922979484565</v>
      </c>
      <c r="AF58" s="17">
        <f>Table2[[#This Row],[Difference in assets (B - A2)]]/(1+Table2[[#This Row],[Compounded CPI]])</f>
        <v>25.413326069140297</v>
      </c>
      <c r="AG58" s="40">
        <v>2.8500000000000001E-2</v>
      </c>
      <c r="AH58" s="17">
        <f t="shared" si="18"/>
        <v>201.39402373797233</v>
      </c>
      <c r="AI58" s="17">
        <f t="shared" si="24"/>
        <v>15.275839297476921</v>
      </c>
      <c r="AJ58" s="41">
        <f t="shared" si="32"/>
        <v>4.9245610288104293</v>
      </c>
      <c r="AK58" s="10">
        <v>1.15E-2</v>
      </c>
      <c r="AL58" s="12">
        <f>(1+Table2[[#This Row],[CPI]])*(1+AL57)-1</f>
        <v>1.0417720230240031</v>
      </c>
      <c r="AM58" s="12">
        <f t="shared" si="20"/>
        <v>3.15E-2</v>
      </c>
      <c r="AN58" s="30">
        <f>(1+Table2[[#This Row],[Salary growth]])*(1+AN57)-1</f>
        <v>2.9118697859627853</v>
      </c>
      <c r="AO58" s="16">
        <f t="shared" si="33"/>
        <v>20.417720230240036</v>
      </c>
      <c r="AP58" s="18">
        <f t="shared" si="34"/>
        <v>26.54303629931205</v>
      </c>
      <c r="AQ58" s="18">
        <f>AQ57*(1+Table2[[#This Row],[Salary growth]])</f>
        <v>39.118697859627844</v>
      </c>
      <c r="AR58" s="20">
        <f t="shared" si="35"/>
        <v>50.854307217516229</v>
      </c>
      <c r="AS58" s="25">
        <f t="shared" si="36"/>
        <v>224.16750888400935</v>
      </c>
    </row>
    <row r="59" spans="1:45" x14ac:dyDescent="0.35">
      <c r="A59" s="8">
        <v>2053</v>
      </c>
      <c r="B59" s="61"/>
      <c r="C59" s="61"/>
      <c r="D59" s="61"/>
      <c r="E59" s="40">
        <v>6.0999999999999999E-2</v>
      </c>
      <c r="F59" s="17">
        <f>F58*(1+Table2[[#This Row],[2008 discount rate]])</f>
        <v>483.98721154027788</v>
      </c>
      <c r="G59" s="19">
        <v>6.0999999999999999E-2</v>
      </c>
      <c r="H59" s="17">
        <f>H58*(1+Table2[[#This Row],[2011 discount rate]])</f>
        <v>397.72194737699573</v>
      </c>
      <c r="I59" s="19">
        <v>5.1999999999999998E-2</v>
      </c>
      <c r="J59" s="17">
        <f>J58*(1+Table2[[#This Row],[2014 discount rate]])</f>
        <v>301.11271879556415</v>
      </c>
      <c r="K59" s="10">
        <v>2.8799999999999999E-2</v>
      </c>
      <c r="L59" s="19">
        <f t="shared" si="19"/>
        <v>2.1913064692063609</v>
      </c>
      <c r="M59" s="18">
        <f t="shared" si="25"/>
        <v>191.47838815238165</v>
      </c>
      <c r="N59" s="18">
        <f>Table2[[#This Row],[Asset growth A1]]/(1+Table2[[#This Row],[Compounded CPI]])</f>
        <v>92.686789491116329</v>
      </c>
      <c r="O59" s="18">
        <f>O58*(1+Table2[[#This Row],[Discount rate A1]])+0.5*(1+Table2[[#This Row],[Compounded salary growth]])</f>
        <v>260.24239407264349</v>
      </c>
      <c r="P59" s="10">
        <f>Table2[[#This Row],[CPI]]+1.7%</f>
        <v>2.8799999999999999E-2</v>
      </c>
      <c r="Q59" s="19">
        <f t="shared" si="37"/>
        <v>2.0305326299588526</v>
      </c>
      <c r="R59" s="18">
        <f t="shared" si="26"/>
        <v>181.8319577975312</v>
      </c>
      <c r="S59" s="18">
        <f>Table2[[#This Row],[Asset growth A2]]/(1+Table2[Compounded CPI])</f>
        <v>88.017350457980115</v>
      </c>
      <c r="T59" s="17">
        <f>Table2[[#This Row],[Asset growth A1]]-Table2[[#This Row],[Asset growth A2]]</f>
        <v>9.6464303548504517</v>
      </c>
      <c r="U59" s="17">
        <f t="shared" si="27"/>
        <v>3.0227213988788115</v>
      </c>
      <c r="V59" s="17">
        <f>Table2[[#This Row],[Difference in assets (A2 - A1)]]/(1+Table2[[#This Row],[Compounded CPI]])</f>
        <v>4.6694390331362179</v>
      </c>
      <c r="W59" s="40">
        <f t="shared" si="22"/>
        <v>3.9799999999999995E-2</v>
      </c>
      <c r="X59" s="17">
        <f t="shared" si="28"/>
        <v>237.72948679644426</v>
      </c>
      <c r="Y59" s="17">
        <f>Table2[[#This Row],[Asset growth B]]/(1+Table2[Compounded CPI])</f>
        <v>115.07503855212018</v>
      </c>
      <c r="Z59" s="17">
        <f>Z58*(1+Table2[[#This Row],[Discount rate B]])+0.5*(1+Table2[[#This Row],[Compounded salary growth]])</f>
        <v>317.70229451710162</v>
      </c>
      <c r="AA59" s="17">
        <f t="shared" si="29"/>
        <v>46.251098644062608</v>
      </c>
      <c r="AB59" s="17">
        <f t="shared" si="30"/>
        <v>14.492841439814677</v>
      </c>
      <c r="AC59" s="17">
        <f>Table2[[#This Row],[Difference in assets (B - A1)]]/(1+Table2[[#This Row],[Compounded CPI]])</f>
        <v>22.388249061003837</v>
      </c>
      <c r="AD59" s="17">
        <f t="shared" si="23"/>
        <v>55.89752899891306</v>
      </c>
      <c r="AE59" s="17">
        <f t="shared" si="31"/>
        <v>18.444787047111259</v>
      </c>
      <c r="AF59" s="17">
        <f>Table2[[#This Row],[Difference in assets (B - A2)]]/(1+Table2[[#This Row],[Compounded CPI]])</f>
        <v>27.057688094140055</v>
      </c>
      <c r="AG59" s="40">
        <v>2.8799999999999999E-2</v>
      </c>
      <c r="AH59" s="17">
        <f t="shared" si="18"/>
        <v>207.19417162162591</v>
      </c>
      <c r="AI59" s="17">
        <f t="shared" si="24"/>
        <v>15.715783469244258</v>
      </c>
      <c r="AJ59" s="41">
        <f t="shared" si="32"/>
        <v>4.9245610288104302</v>
      </c>
      <c r="AK59" s="10">
        <v>1.18E-2</v>
      </c>
      <c r="AL59" s="12">
        <f>(1+Table2[[#This Row],[CPI]])*(1+AL58)-1</f>
        <v>1.0658649328956864</v>
      </c>
      <c r="AM59" s="12">
        <f t="shared" si="20"/>
        <v>3.1800000000000002E-2</v>
      </c>
      <c r="AN59" s="30">
        <f>(1+Table2[[#This Row],[Salary growth]])*(1+AN58)-1</f>
        <v>3.0362672451564023</v>
      </c>
      <c r="AO59" s="16">
        <f t="shared" si="33"/>
        <v>20.658649328956869</v>
      </c>
      <c r="AP59" s="18">
        <f t="shared" si="34"/>
        <v>26.856244127643933</v>
      </c>
      <c r="AQ59" s="18">
        <f>AQ58*(1+Table2[[#This Row],[Salary growth]])</f>
        <v>40.362672451564009</v>
      </c>
      <c r="AR59" s="20">
        <f t="shared" si="35"/>
        <v>52.471474187033245</v>
      </c>
      <c r="AS59" s="25">
        <f t="shared" si="36"/>
        <v>230.62353313986881</v>
      </c>
    </row>
    <row r="60" spans="1:45" x14ac:dyDescent="0.35">
      <c r="A60" s="8">
        <v>2054</v>
      </c>
      <c r="B60" s="61"/>
      <c r="C60" s="61"/>
      <c r="D60" s="61"/>
      <c r="E60" s="40">
        <v>6.0999999999999999E-2</v>
      </c>
      <c r="F60" s="17">
        <f>F59*(1+Table2[[#This Row],[2008 discount rate]])</f>
        <v>513.51043144423477</v>
      </c>
      <c r="G60" s="19">
        <v>6.0999999999999999E-2</v>
      </c>
      <c r="H60" s="17">
        <f>H59*(1+Table2[[#This Row],[2011 discount rate]])</f>
        <v>421.98298616699242</v>
      </c>
      <c r="I60" s="19">
        <v>5.1999999999999998E-2</v>
      </c>
      <c r="J60" s="17">
        <f>J59*(1+Table2[[#This Row],[2014 discount rate]])</f>
        <v>316.77058017293348</v>
      </c>
      <c r="K60" s="10">
        <v>2.93E-2</v>
      </c>
      <c r="L60" s="19">
        <f t="shared" si="19"/>
        <v>2.2848117487541075</v>
      </c>
      <c r="M60" s="18">
        <f t="shared" si="25"/>
        <v>197.08870492524645</v>
      </c>
      <c r="N60" s="18">
        <f>Table2[[#This Row],[Asset growth A1]]/(1+Table2[[#This Row],[Compounded CPI]])</f>
        <v>94.24331959222171</v>
      </c>
      <c r="O60" s="18">
        <f>O59*(1+Table2[[#This Row],[Discount rate A1]])+0.5*(1+Table2[[#This Row],[Compounded salary growth]])</f>
        <v>269.95081555755945</v>
      </c>
      <c r="P60" s="10">
        <f>Table2[[#This Row],[CPI]]+1.7%</f>
        <v>2.93E-2</v>
      </c>
      <c r="Q60" s="19">
        <f t="shared" si="37"/>
        <v>2.1193272360166473</v>
      </c>
      <c r="R60" s="18">
        <f t="shared" si="26"/>
        <v>187.15963416099888</v>
      </c>
      <c r="S60" s="18">
        <f>Table2[[#This Row],[Asset growth A2]]/(1+Table2[Compounded CPI])</f>
        <v>89.495464611675331</v>
      </c>
      <c r="T60" s="17">
        <f>Table2[[#This Row],[Asset growth A1]]-Table2[[#This Row],[Asset growth A2]]</f>
        <v>9.9290707642475695</v>
      </c>
      <c r="U60" s="17">
        <f t="shared" si="27"/>
        <v>3.0227213988788111</v>
      </c>
      <c r="V60" s="17">
        <f>Table2[[#This Row],[Difference in assets (A2 - A1)]]/(1+Table2[[#This Row],[Compounded CPI]])</f>
        <v>4.7478549805463883</v>
      </c>
      <c r="W60" s="40">
        <f t="shared" si="22"/>
        <v>4.0299999999999996E-2</v>
      </c>
      <c r="X60" s="17">
        <f t="shared" si="28"/>
        <v>247.30998511434098</v>
      </c>
      <c r="Y60" s="17">
        <f>Table2[[#This Row],[Asset growth B]]/(1+Table2[Compounded CPI])</f>
        <v>118.25798933692641</v>
      </c>
      <c r="Z60" s="17">
        <f>Z59*(1+Table2[[#This Row],[Discount rate B]])+0.5*(1+Table2[[#This Row],[Compounded salary growth]])</f>
        <v>332.58901632472833</v>
      </c>
      <c r="AA60" s="17">
        <f t="shared" si="29"/>
        <v>50.221280189094529</v>
      </c>
      <c r="AB60" s="17">
        <f t="shared" si="30"/>
        <v>15.288937093013899</v>
      </c>
      <c r="AC60" s="17">
        <f>Table2[[#This Row],[Difference in assets (B - A1)]]/(1+Table2[[#This Row],[Compounded CPI]])</f>
        <v>24.014669744704705</v>
      </c>
      <c r="AD60" s="17">
        <f t="shared" si="23"/>
        <v>60.150350953342098</v>
      </c>
      <c r="AE60" s="17">
        <f t="shared" si="31"/>
        <v>19.283116647342698</v>
      </c>
      <c r="AF60" s="17">
        <f>Table2[[#This Row],[Difference in assets (B - A2)]]/(1+Table2[[#This Row],[Compounded CPI]])</f>
        <v>28.76252472525109</v>
      </c>
      <c r="AG60" s="40">
        <v>2.93E-2</v>
      </c>
      <c r="AH60" s="17">
        <f t="shared" si="18"/>
        <v>213.26496085013957</v>
      </c>
      <c r="AI60" s="17">
        <f t="shared" si="24"/>
        <v>16.176255924893127</v>
      </c>
      <c r="AJ60" s="41">
        <f t="shared" si="32"/>
        <v>4.9245610288104338</v>
      </c>
      <c r="AK60" s="10">
        <v>1.23E-2</v>
      </c>
      <c r="AL60" s="12">
        <f>(1+Table2[[#This Row],[CPI]])*(1+AL59)-1</f>
        <v>1.0912750715703035</v>
      </c>
      <c r="AM60" s="12">
        <f t="shared" si="20"/>
        <v>3.2300000000000002E-2</v>
      </c>
      <c r="AN60" s="30">
        <f>(1+Table2[[#This Row],[Salary growth]])*(1+AN59)-1</f>
        <v>3.1666386771749542</v>
      </c>
      <c r="AO60" s="16">
        <f t="shared" si="33"/>
        <v>20.912750715703037</v>
      </c>
      <c r="AP60" s="18">
        <f t="shared" si="34"/>
        <v>27.186575930413952</v>
      </c>
      <c r="AQ60" s="18">
        <f>AQ59*(1+Table2[[#This Row],[Salary growth]])</f>
        <v>41.666386771749529</v>
      </c>
      <c r="AR60" s="20">
        <f t="shared" si="35"/>
        <v>54.166302803274419</v>
      </c>
      <c r="AS60" s="25">
        <f t="shared" si="36"/>
        <v>237.380802660867</v>
      </c>
    </row>
    <row r="61" spans="1:45" x14ac:dyDescent="0.35">
      <c r="A61" s="8">
        <v>2055</v>
      </c>
      <c r="B61" s="61"/>
      <c r="C61" s="61"/>
      <c r="D61" s="61"/>
      <c r="E61" s="40">
        <v>6.0999999999999999E-2</v>
      </c>
      <c r="F61" s="17">
        <f>F60*(1+Table2[[#This Row],[2008 discount rate]])</f>
        <v>544.83456776233311</v>
      </c>
      <c r="G61" s="19">
        <v>6.0999999999999999E-2</v>
      </c>
      <c r="H61" s="17">
        <f>H60*(1+Table2[[#This Row],[2011 discount rate]])</f>
        <v>447.72394832317894</v>
      </c>
      <c r="I61" s="19">
        <v>5.1999999999999998E-2</v>
      </c>
      <c r="J61" s="17">
        <f>J60*(1+Table2[[#This Row],[2014 discount rate]])</f>
        <v>333.24265034192604</v>
      </c>
      <c r="K61" s="10">
        <v>2.9899999999999999E-2</v>
      </c>
      <c r="L61" s="19">
        <f t="shared" si="19"/>
        <v>2.3830276200418554</v>
      </c>
      <c r="M61" s="18">
        <f t="shared" si="25"/>
        <v>202.98165720251131</v>
      </c>
      <c r="N61" s="18">
        <f>Table2[[#This Row],[Asset growth A1]]/(1+Table2[[#This Row],[Compounded CPI]])</f>
        <v>95.825051681339872</v>
      </c>
      <c r="O61" s="18">
        <f>O60*(1+Table2[[#This Row],[Discount rate A1]])+0.5*(1+Table2[[#This Row],[Compounded salary growth]])</f>
        <v>280.17420548755751</v>
      </c>
      <c r="P61" s="10">
        <f>Table2[[#This Row],[CPI]]+1.7%</f>
        <v>2.9900000000000003E-2</v>
      </c>
      <c r="Q61" s="19">
        <f t="shared" si="37"/>
        <v>2.2125951203735452</v>
      </c>
      <c r="R61" s="18">
        <f t="shared" si="26"/>
        <v>192.75570722241275</v>
      </c>
      <c r="S61" s="18">
        <f>Table2[[#This Row],[Asset growth A2]]/(1+Table2[Compounded CPI])</f>
        <v>90.9975111102423</v>
      </c>
      <c r="T61" s="17">
        <f>Table2[[#This Row],[Asset growth A1]]-Table2[[#This Row],[Asset growth A2]]</f>
        <v>10.225949980098562</v>
      </c>
      <c r="U61" s="17">
        <f t="shared" si="27"/>
        <v>3.022721398878808</v>
      </c>
      <c r="V61" s="17">
        <f>Table2[[#This Row],[Difference in assets (A2 - A1)]]/(1+Table2[[#This Row],[Compounded CPI]])</f>
        <v>4.8275405710975621</v>
      </c>
      <c r="W61" s="40">
        <f t="shared" si="22"/>
        <v>4.0899999999999999E-2</v>
      </c>
      <c r="X61" s="17">
        <f t="shared" si="28"/>
        <v>257.4249635055175</v>
      </c>
      <c r="Y61" s="17">
        <f>Table2[[#This Row],[Asset growth B]]/(1+Table2[Compounded CPI])</f>
        <v>121.52704225570807</v>
      </c>
      <c r="Z61" s="17">
        <f>Z60*(1+Table2[[#This Row],[Discount rate B]])+0.5*(1+Table2[[#This Row],[Compounded salary growth]])</f>
        <v>348.34376763723668</v>
      </c>
      <c r="AA61" s="17">
        <f t="shared" si="29"/>
        <v>54.443306303006182</v>
      </c>
      <c r="AB61" s="17">
        <f t="shared" si="30"/>
        <v>16.093071774073366</v>
      </c>
      <c r="AC61" s="17">
        <f>Table2[[#This Row],[Difference in assets (B - A1)]]/(1+Table2[[#This Row],[Compounded CPI]])</f>
        <v>25.701990574368203</v>
      </c>
      <c r="AD61" s="17">
        <f t="shared" si="23"/>
        <v>64.669256283104744</v>
      </c>
      <c r="AE61" s="17">
        <f t="shared" si="31"/>
        <v>20.129911756693858</v>
      </c>
      <c r="AF61" s="17">
        <f>Table2[[#This Row],[Difference in assets (B - A2)]]/(1+Table2[[#This Row],[Compounded CPI]])</f>
        <v>30.529531145465768</v>
      </c>
      <c r="AG61" s="40">
        <v>2.9899999999999999E-2</v>
      </c>
      <c r="AH61" s="17">
        <f t="shared" si="18"/>
        <v>219.64158317955875</v>
      </c>
      <c r="AI61" s="17">
        <f t="shared" si="24"/>
        <v>16.659925977047436</v>
      </c>
      <c r="AJ61" s="41">
        <f t="shared" si="32"/>
        <v>4.9245610288104347</v>
      </c>
      <c r="AK61" s="10">
        <v>1.29E-2</v>
      </c>
      <c r="AL61" s="12">
        <f>(1+Table2[[#This Row],[CPI]])*(1+AL60)-1</f>
        <v>1.1182525199935602</v>
      </c>
      <c r="AM61" s="12">
        <f t="shared" si="20"/>
        <v>3.2899999999999999E-2</v>
      </c>
      <c r="AN61" s="30">
        <f>(1+Table2[[#This Row],[Salary growth]])*(1+AN60)-1</f>
        <v>3.3037210896540099</v>
      </c>
      <c r="AO61" s="16">
        <f t="shared" si="33"/>
        <v>21.182525199935604</v>
      </c>
      <c r="AP61" s="18">
        <f t="shared" si="34"/>
        <v>27.537282759916287</v>
      </c>
      <c r="AQ61" s="18">
        <f>AQ60*(1+Table2[[#This Row],[Salary growth]])</f>
        <v>43.037210896540088</v>
      </c>
      <c r="AR61" s="20">
        <f t="shared" si="35"/>
        <v>55.948374165502145</v>
      </c>
      <c r="AS61" s="25">
        <f t="shared" si="36"/>
        <v>244.47848866042693</v>
      </c>
    </row>
    <row r="62" spans="1:45" x14ac:dyDescent="0.35">
      <c r="A62" s="8">
        <v>2056</v>
      </c>
      <c r="B62" s="61"/>
      <c r="C62" s="61"/>
      <c r="D62" s="61"/>
      <c r="E62" s="40">
        <v>6.0999999999999999E-2</v>
      </c>
      <c r="F62" s="17">
        <f>F61*(1+Table2[[#This Row],[2008 discount rate]])</f>
        <v>578.06947639583541</v>
      </c>
      <c r="G62" s="19">
        <v>6.0999999999999999E-2</v>
      </c>
      <c r="H62" s="17">
        <f>H61*(1+Table2[[#This Row],[2011 discount rate]])</f>
        <v>475.03510917089284</v>
      </c>
      <c r="I62" s="19">
        <v>5.1999999999999998E-2</v>
      </c>
      <c r="J62" s="17">
        <f>J61*(1+Table2[[#This Row],[2014 discount rate]])</f>
        <v>350.57126815970622</v>
      </c>
      <c r="K62" s="10">
        <v>3.0700000000000002E-2</v>
      </c>
      <c r="L62" s="19">
        <f t="shared" si="19"/>
        <v>2.4868865679771401</v>
      </c>
      <c r="M62" s="18">
        <f t="shared" si="25"/>
        <v>209.21319407862839</v>
      </c>
      <c r="N62" s="18">
        <f>Table2[[#This Row],[Asset growth A1]]/(1+Table2[[#This Row],[Compounded CPI]])</f>
        <v>97.432061525063602</v>
      </c>
      <c r="O62" s="18">
        <f>O61*(1+Table2[[#This Row],[Discount rate A1]])+0.5*(1+Table2[[#This Row],[Compounded salary growth]])</f>
        <v>290.9999318412132</v>
      </c>
      <c r="P62" s="10">
        <f>Table2[[#This Row],[CPI]]+1.7%</f>
        <v>3.0700000000000002E-2</v>
      </c>
      <c r="Q62" s="19">
        <f t="shared" si="37"/>
        <v>2.3112217905690131</v>
      </c>
      <c r="R62" s="18">
        <f t="shared" si="26"/>
        <v>198.67330743414081</v>
      </c>
      <c r="S62" s="18">
        <f>Table2[[#This Row],[Asset growth A2]]/(1+Table2[Compounded CPI])</f>
        <v>92.523561903252173</v>
      </c>
      <c r="T62" s="17">
        <f>Table2[[#This Row],[Asset growth A1]]-Table2[[#This Row],[Asset growth A2]]</f>
        <v>10.539886644487581</v>
      </c>
      <c r="U62" s="17">
        <f t="shared" si="27"/>
        <v>3.0227213988788062</v>
      </c>
      <c r="V62" s="17">
        <f>Table2[[#This Row],[Difference in assets (A2 - A1)]]/(1+Table2[[#This Row],[Compounded CPI]])</f>
        <v>4.908499621811437</v>
      </c>
      <c r="W62" s="40">
        <f t="shared" si="22"/>
        <v>4.1700000000000001E-2</v>
      </c>
      <c r="X62" s="17">
        <f t="shared" si="28"/>
        <v>268.15958448369759</v>
      </c>
      <c r="Y62" s="17">
        <f>Table2[[#This Row],[Asset growth B]]/(1+Table2[Compounded CPI])</f>
        <v>124.88381169751513</v>
      </c>
      <c r="Z62" s="17">
        <f>Z61*(1+Table2[[#This Row],[Discount rate B]])+0.5*(1+Table2[[#This Row],[Compounded salary growth]])</f>
        <v>365.09408099289715</v>
      </c>
      <c r="AA62" s="17">
        <f t="shared" si="29"/>
        <v>58.946390405069195</v>
      </c>
      <c r="AB62" s="17">
        <f t="shared" si="30"/>
        <v>16.905164322355908</v>
      </c>
      <c r="AC62" s="17">
        <f>Table2[[#This Row],[Difference in assets (B - A1)]]/(1+Table2[[#This Row],[Compounded CPI]])</f>
        <v>27.451750172451522</v>
      </c>
      <c r="AD62" s="17">
        <f t="shared" si="23"/>
        <v>69.486277049556776</v>
      </c>
      <c r="AE62" s="17">
        <f t="shared" si="31"/>
        <v>20.985086908846412</v>
      </c>
      <c r="AF62" s="17">
        <f>Table2[[#This Row],[Difference in assets (B - A2)]]/(1+Table2[[#This Row],[Compounded CPI]])</f>
        <v>32.360249794262955</v>
      </c>
      <c r="AG62" s="40">
        <v>3.0700000000000002E-2</v>
      </c>
      <c r="AH62" s="17">
        <f t="shared" si="18"/>
        <v>226.3845797831712</v>
      </c>
      <c r="AI62" s="17">
        <f t="shared" si="24"/>
        <v>17.171385704542814</v>
      </c>
      <c r="AJ62" s="41">
        <f t="shared" si="32"/>
        <v>4.9245610288104418</v>
      </c>
      <c r="AK62" s="10">
        <v>1.37E-2</v>
      </c>
      <c r="AL62" s="12">
        <f>(1+Table2[[#This Row],[CPI]])*(1+AL61)-1</f>
        <v>1.1472725795174723</v>
      </c>
      <c r="AM62" s="12">
        <f t="shared" si="20"/>
        <v>3.3700000000000001E-2</v>
      </c>
      <c r="AN62" s="30">
        <f>(1+Table2[[#This Row],[Salary growth]])*(1+AN61)-1</f>
        <v>3.4487564903753505</v>
      </c>
      <c r="AO62" s="16">
        <f t="shared" si="33"/>
        <v>21.472725795174721</v>
      </c>
      <c r="AP62" s="18">
        <f t="shared" si="34"/>
        <v>27.914543533727141</v>
      </c>
      <c r="AQ62" s="18">
        <f>AQ61*(1+Table2[[#This Row],[Salary growth]])</f>
        <v>44.487564903753494</v>
      </c>
      <c r="AR62" s="20">
        <f t="shared" si="35"/>
        <v>57.833834374879572</v>
      </c>
      <c r="AS62" s="25">
        <f t="shared" si="36"/>
        <v>251.98397826230203</v>
      </c>
    </row>
    <row r="63" spans="1:45" x14ac:dyDescent="0.35">
      <c r="A63" s="8">
        <v>2057</v>
      </c>
      <c r="B63" s="61"/>
      <c r="C63" s="61"/>
      <c r="D63" s="61"/>
      <c r="E63" s="40">
        <v>6.0999999999999999E-2</v>
      </c>
      <c r="F63" s="17">
        <f>F62*(1+Table2[[#This Row],[2008 discount rate]])</f>
        <v>613.33171445598134</v>
      </c>
      <c r="G63" s="19">
        <v>6.0999999999999999E-2</v>
      </c>
      <c r="H63" s="17">
        <f>H62*(1+Table2[[#This Row],[2011 discount rate]])</f>
        <v>504.01225083031727</v>
      </c>
      <c r="I63" s="19">
        <v>5.1999999999999998E-2</v>
      </c>
      <c r="J63" s="17">
        <f>J62*(1+Table2[[#This Row],[2014 discount rate]])</f>
        <v>368.80097410401095</v>
      </c>
      <c r="K63" s="10">
        <v>3.1699999999999999E-2</v>
      </c>
      <c r="L63" s="19">
        <f t="shared" si="19"/>
        <v>2.5974208721820156</v>
      </c>
      <c r="M63" s="18">
        <f t="shared" si="25"/>
        <v>215.84525233092091</v>
      </c>
      <c r="N63" s="18">
        <f>Table2[[#This Row],[Asset growth A1]]/(1+Table2[[#This Row],[Compounded CPI]])</f>
        <v>99.064411033219798</v>
      </c>
      <c r="O63" s="18">
        <f>O62*(1+Table2[[#This Row],[Discount rate A1]])+0.5*(1+Table2[[#This Row],[Compounded salary growth]])</f>
        <v>302.52619385087536</v>
      </c>
      <c r="P63" s="10">
        <f>Table2[[#This Row],[CPI]]+1.7%</f>
        <v>3.1699999999999999E-2</v>
      </c>
      <c r="Q63" s="19">
        <f t="shared" si="37"/>
        <v>2.416187521330051</v>
      </c>
      <c r="R63" s="18">
        <f t="shared" si="26"/>
        <v>204.97125127980308</v>
      </c>
      <c r="S63" s="18">
        <f>Table2[[#This Row],[Asset growth A2]]/(1+Table2[Compounded CPI])</f>
        <v>94.073675781595824</v>
      </c>
      <c r="T63" s="17">
        <f>Table2[[#This Row],[Asset growth A1]]-Table2[[#This Row],[Asset growth A2]]</f>
        <v>10.87400105111783</v>
      </c>
      <c r="U63" s="17">
        <f t="shared" si="27"/>
        <v>3.022721398878804</v>
      </c>
      <c r="V63" s="17">
        <f>Table2[[#This Row],[Difference in assets (A2 - A1)]]/(1+Table2[[#This Row],[Compounded CPI]])</f>
        <v>4.9907352516239838</v>
      </c>
      <c r="W63" s="40">
        <f t="shared" si="22"/>
        <v>4.2699999999999995E-2</v>
      </c>
      <c r="X63" s="17">
        <f t="shared" si="28"/>
        <v>279.60999874115146</v>
      </c>
      <c r="Y63" s="17">
        <f>Table2[[#This Row],[Asset growth B]]/(1+Table2[Compounded CPI])</f>
        <v>128.32990091356956</v>
      </c>
      <c r="Z63" s="17">
        <f>Z62*(1+Table2[[#This Row],[Discount rate B]])+0.5*(1+Table2[[#This Row],[Compounded salary growth]])</f>
        <v>382.98516242158956</v>
      </c>
      <c r="AA63" s="17">
        <f t="shared" si="29"/>
        <v>63.764746410230543</v>
      </c>
      <c r="AB63" s="17">
        <f t="shared" si="30"/>
        <v>17.725128272676653</v>
      </c>
      <c r="AC63" s="17">
        <f>Table2[[#This Row],[Difference in assets (B - A1)]]/(1+Table2[[#This Row],[Compounded CPI]])</f>
        <v>29.265489880349755</v>
      </c>
      <c r="AD63" s="17">
        <f t="shared" si="23"/>
        <v>74.638747461348373</v>
      </c>
      <c r="AE63" s="17">
        <f t="shared" si="31"/>
        <v>21.848551051520932</v>
      </c>
      <c r="AF63" s="17">
        <f>Table2[[#This Row],[Difference in assets (B - A2)]]/(1+Table2[[#This Row],[Compounded CPI]])</f>
        <v>34.256225131973743</v>
      </c>
      <c r="AG63" s="40">
        <v>3.1699999999999999E-2</v>
      </c>
      <c r="AH63" s="17">
        <f t="shared" si="18"/>
        <v>233.56097096229774</v>
      </c>
      <c r="AI63" s="17">
        <f t="shared" si="24"/>
        <v>17.715718631376831</v>
      </c>
      <c r="AJ63" s="41">
        <f t="shared" si="32"/>
        <v>4.9245610288104436</v>
      </c>
      <c r="AK63" s="10">
        <v>1.47E-2</v>
      </c>
      <c r="AL63" s="12">
        <f>(1+Table2[[#This Row],[CPI]])*(1+AL62)-1</f>
        <v>1.1788374864363789</v>
      </c>
      <c r="AM63" s="12">
        <f t="shared" si="20"/>
        <v>3.4700000000000002E-2</v>
      </c>
      <c r="AN63" s="30">
        <f>(1+Table2[[#This Row],[Salary growth]])*(1+AN62)-1</f>
        <v>3.6031283405913745</v>
      </c>
      <c r="AO63" s="16">
        <f t="shared" si="33"/>
        <v>21.788374864363789</v>
      </c>
      <c r="AP63" s="18">
        <f t="shared" si="34"/>
        <v>28.324887323672929</v>
      </c>
      <c r="AQ63" s="18">
        <f>AQ62*(1+Table2[[#This Row],[Salary growth]])</f>
        <v>46.03128340591374</v>
      </c>
      <c r="AR63" s="20">
        <f t="shared" si="35"/>
        <v>59.840668427687888</v>
      </c>
      <c r="AS63" s="25">
        <f t="shared" si="36"/>
        <v>259.97187037321703</v>
      </c>
    </row>
    <row r="64" spans="1:45" x14ac:dyDescent="0.35">
      <c r="A64" s="8">
        <v>2058</v>
      </c>
      <c r="B64" s="61"/>
      <c r="C64" s="61"/>
      <c r="D64" s="61"/>
      <c r="E64" s="40">
        <v>6.0999999999999999E-2</v>
      </c>
      <c r="F64" s="17">
        <f>F63*(1+Table2[[#This Row],[2008 discount rate]])</f>
        <v>650.74494903779612</v>
      </c>
      <c r="G64" s="19">
        <v>6.0999999999999999E-2</v>
      </c>
      <c r="H64" s="17">
        <f>H63*(1+Table2[[#This Row],[2011 discount rate]])</f>
        <v>534.75699813096662</v>
      </c>
      <c r="I64" s="19">
        <v>5.1999999999999998E-2</v>
      </c>
      <c r="J64" s="17">
        <f>J63*(1+Table2[[#This Row],[2014 discount rate]])</f>
        <v>387.97862475741954</v>
      </c>
      <c r="K64" s="10">
        <v>3.27E-2</v>
      </c>
      <c r="L64" s="19">
        <f t="shared" si="19"/>
        <v>2.7150565347023674</v>
      </c>
      <c r="M64" s="18">
        <f t="shared" si="25"/>
        <v>222.90339208214201</v>
      </c>
      <c r="N64" s="18">
        <f>Table2[[#This Row],[Asset growth A1]]/(1+Table2[[#This Row],[Compounded CPI]])</f>
        <v>100.72247442552532</v>
      </c>
      <c r="O64" s="18">
        <f>O63*(1+Table2[[#This Row],[Discount rate A1]])+0.5*(1+Table2[[#This Row],[Compounded salary growth]])</f>
        <v>314.80253040097421</v>
      </c>
      <c r="P64" s="10">
        <f>Table2[[#This Row],[CPI]]+1.7%</f>
        <v>3.27E-2</v>
      </c>
      <c r="Q64" s="19">
        <f t="shared" si="37"/>
        <v>2.5278968532775434</v>
      </c>
      <c r="R64" s="18">
        <f t="shared" si="26"/>
        <v>211.67381119665262</v>
      </c>
      <c r="S64" s="18">
        <f>Table2[[#This Row],[Asset growth A2]]/(1+Table2[Compounded CPI])</f>
        <v>95.648208112291016</v>
      </c>
      <c r="T64" s="17">
        <f>Table2[[#This Row],[Asset growth A1]]-Table2[[#This Row],[Asset growth A2]]</f>
        <v>11.229580885489383</v>
      </c>
      <c r="U64" s="17">
        <f t="shared" si="27"/>
        <v>3.0227213988788044</v>
      </c>
      <c r="V64" s="17">
        <f>Table2[[#This Row],[Difference in assets (A2 - A1)]]/(1+Table2[[#This Row],[Compounded CPI]])</f>
        <v>5.0742663132343093</v>
      </c>
      <c r="W64" s="40">
        <f t="shared" si="22"/>
        <v>4.3699999999999996E-2</v>
      </c>
      <c r="X64" s="17">
        <f t="shared" si="28"/>
        <v>291.82895568613981</v>
      </c>
      <c r="Y64" s="17">
        <f>Table2[[#This Row],[Asset growth B]]/(1+Table2[Compounded CPI])</f>
        <v>131.86759632124895</v>
      </c>
      <c r="Z64" s="17">
        <f>Z63*(1+Table2[[#This Row],[Discount rate B]])+0.5*(1+Table2[[#This Row],[Compounded salary growth]])</f>
        <v>402.1053440305883</v>
      </c>
      <c r="AA64" s="17">
        <f t="shared" si="29"/>
        <v>68.925563603997801</v>
      </c>
      <c r="AB64" s="17">
        <f t="shared" si="30"/>
        <v>18.553032224453023</v>
      </c>
      <c r="AC64" s="17">
        <f>Table2[[#This Row],[Difference in assets (B - A1)]]/(1+Table2[[#This Row],[Compounded CPI]])</f>
        <v>31.145121895723619</v>
      </c>
      <c r="AD64" s="17">
        <f t="shared" si="23"/>
        <v>80.155144489487185</v>
      </c>
      <c r="AE64" s="17">
        <f t="shared" si="31"/>
        <v>22.720376423426373</v>
      </c>
      <c r="AF64" s="17">
        <f>Table2[[#This Row],[Difference in assets (B - A2)]]/(1+Table2[[#This Row],[Compounded CPI]])</f>
        <v>36.21938820895793</v>
      </c>
      <c r="AG64" s="40">
        <v>3.27E-2</v>
      </c>
      <c r="AH64" s="17">
        <f t="shared" si="18"/>
        <v>241.19841471276487</v>
      </c>
      <c r="AI64" s="17">
        <f t="shared" si="24"/>
        <v>18.295022630622867</v>
      </c>
      <c r="AJ64" s="41">
        <f t="shared" si="32"/>
        <v>4.924561028810448</v>
      </c>
      <c r="AK64" s="10">
        <v>1.5699999999999999E-2</v>
      </c>
      <c r="AL64" s="12">
        <f>(1+Table2[[#This Row],[CPI]])*(1+AL63)-1</f>
        <v>1.2130452349734302</v>
      </c>
      <c r="AM64" s="12">
        <f t="shared" si="20"/>
        <v>3.5699999999999996E-2</v>
      </c>
      <c r="AN64" s="30">
        <f>(1+Table2[[#This Row],[Salary growth]])*(1+AN63)-1</f>
        <v>3.7674600223504866</v>
      </c>
      <c r="AO64" s="16">
        <f t="shared" si="33"/>
        <v>22.130452349734302</v>
      </c>
      <c r="AP64" s="18">
        <f t="shared" si="34"/>
        <v>28.769588054654594</v>
      </c>
      <c r="AQ64" s="18">
        <f>AQ63*(1+Table2[[#This Row],[Salary growth]])</f>
        <v>47.674600223504861</v>
      </c>
      <c r="AR64" s="20">
        <f t="shared" si="35"/>
        <v>61.976980290556348</v>
      </c>
      <c r="AS64" s="25">
        <f t="shared" si="36"/>
        <v>268.47295053442122</v>
      </c>
    </row>
    <row r="65" spans="1:45" x14ac:dyDescent="0.35">
      <c r="A65" s="8">
        <v>2059</v>
      </c>
      <c r="B65" s="61"/>
      <c r="C65" s="61"/>
      <c r="D65" s="61"/>
      <c r="E65" s="40">
        <v>6.0999999999999999E-2</v>
      </c>
      <c r="F65" s="17">
        <f>F64*(1+Table2[[#This Row],[2008 discount rate]])</f>
        <v>690.44039092910168</v>
      </c>
      <c r="G65" s="19">
        <v>6.0999999999999999E-2</v>
      </c>
      <c r="H65" s="17">
        <f>H64*(1+Table2[[#This Row],[2011 discount rate]])</f>
        <v>567.37717501695556</v>
      </c>
      <c r="I65" s="19">
        <v>5.1999999999999998E-2</v>
      </c>
      <c r="J65" s="17">
        <f>J64*(1+Table2[[#This Row],[2014 discount rate]])</f>
        <v>408.15351324480537</v>
      </c>
      <c r="K65" s="10">
        <v>3.39E-2</v>
      </c>
      <c r="L65" s="19">
        <f t="shared" si="19"/>
        <v>2.8409969512287776</v>
      </c>
      <c r="M65" s="18">
        <f t="shared" si="25"/>
        <v>230.45981707372664</v>
      </c>
      <c r="N65" s="18">
        <f>Table2[[#This Row],[Asset growth A1]]/(1+Table2[[#This Row],[Compounded CPI]])</f>
        <v>102.4062998412338</v>
      </c>
      <c r="O65" s="18">
        <f>O64*(1+Table2[[#This Row],[Discount rate A1]])+0.5*(1+Table2[[#This Row],[Compounded salary growth]])</f>
        <v>327.94602583015484</v>
      </c>
      <c r="P65" s="10">
        <f>Table2[[#This Row],[CPI]]+1.7%</f>
        <v>3.39E-2</v>
      </c>
      <c r="Q65" s="19">
        <f t="shared" si="37"/>
        <v>2.6474925566036522</v>
      </c>
      <c r="R65" s="18">
        <f t="shared" si="26"/>
        <v>218.84955339621916</v>
      </c>
      <c r="S65" s="18">
        <f>Table2[[#This Row],[Asset growth A2]]/(1+Table2[Compounded CPI])</f>
        <v>97.24720460939885</v>
      </c>
      <c r="T65" s="17">
        <f>Table2[[#This Row],[Asset growth A1]]-Table2[[#This Row],[Asset growth A2]]</f>
        <v>11.610263677507476</v>
      </c>
      <c r="U65" s="17">
        <f t="shared" si="27"/>
        <v>3.0227213988788049</v>
      </c>
      <c r="V65" s="17">
        <f>Table2[[#This Row],[Difference in assets (A2 - A1)]]/(1+Table2[[#This Row],[Compounded CPI]])</f>
        <v>5.159095231834943</v>
      </c>
      <c r="W65" s="40">
        <f t="shared" si="22"/>
        <v>4.4899999999999995E-2</v>
      </c>
      <c r="X65" s="17">
        <f t="shared" si="28"/>
        <v>304.93207579644746</v>
      </c>
      <c r="Y65" s="17">
        <f>Table2[[#This Row],[Asset growth B]]/(1+Table2[Compounded CPI])</f>
        <v>135.49852630157639</v>
      </c>
      <c r="Z65" s="17">
        <f>Z64*(1+Table2[[#This Row],[Discount rate B]])+0.5*(1+Table2[[#This Row],[Compounded salary growth]])</f>
        <v>422.63156362614927</v>
      </c>
      <c r="AA65" s="17">
        <f t="shared" si="29"/>
        <v>74.472258722720824</v>
      </c>
      <c r="AB65" s="17">
        <f t="shared" si="30"/>
        <v>19.388783607051895</v>
      </c>
      <c r="AC65" s="17">
        <f>Table2[[#This Row],[Difference in assets (B - A1)]]/(1+Table2[[#This Row],[Compounded CPI]])</f>
        <v>33.09222646034258</v>
      </c>
      <c r="AD65" s="17">
        <f t="shared" si="23"/>
        <v>86.082522400228299</v>
      </c>
      <c r="AE65" s="17">
        <f t="shared" si="31"/>
        <v>23.600465542932785</v>
      </c>
      <c r="AF65" s="17">
        <f>Table2[[#This Row],[Difference in assets (B - A2)]]/(1+Table2[[#This Row],[Compounded CPI]])</f>
        <v>38.251321692177527</v>
      </c>
      <c r="AG65" s="40">
        <v>3.39E-2</v>
      </c>
      <c r="AH65" s="17">
        <f t="shared" si="18"/>
        <v>249.37504097152762</v>
      </c>
      <c r="AI65" s="17">
        <f t="shared" si="24"/>
        <v>18.915223897800985</v>
      </c>
      <c r="AJ65" s="41">
        <f t="shared" si="32"/>
        <v>4.924561028810448</v>
      </c>
      <c r="AK65" s="10">
        <v>1.6899999999999998E-2</v>
      </c>
      <c r="AL65" s="12">
        <f>(1+Table2[[#This Row],[CPI]])*(1+AL64)-1</f>
        <v>1.250445699444481</v>
      </c>
      <c r="AM65" s="12">
        <f t="shared" si="20"/>
        <v>3.6900000000000002E-2</v>
      </c>
      <c r="AN65" s="30">
        <f>(1+Table2[[#This Row],[Salary growth]])*(1+AN64)-1</f>
        <v>3.9433792971752188</v>
      </c>
      <c r="AO65" s="16">
        <f t="shared" si="33"/>
        <v>22.504456994444809</v>
      </c>
      <c r="AP65" s="18">
        <f t="shared" si="34"/>
        <v>29.255794092778256</v>
      </c>
      <c r="AQ65" s="18">
        <f>AQ64*(1+Table2[[#This Row],[Salary growth]])</f>
        <v>49.43379297175219</v>
      </c>
      <c r="AR65" s="20">
        <f t="shared" si="35"/>
        <v>64.263930863277878</v>
      </c>
      <c r="AS65" s="25">
        <f t="shared" si="36"/>
        <v>277.57418355753811</v>
      </c>
    </row>
    <row r="66" spans="1:45" x14ac:dyDescent="0.35">
      <c r="A66" s="8">
        <v>2060</v>
      </c>
      <c r="B66" s="61"/>
      <c r="C66" s="61"/>
      <c r="D66" s="61"/>
      <c r="E66" s="40">
        <v>6.0999999999999999E-2</v>
      </c>
      <c r="F66" s="17">
        <f>F65*(1+Table2[[#This Row],[2008 discount rate]])</f>
        <v>732.55725477577687</v>
      </c>
      <c r="G66" s="19">
        <v>6.0999999999999999E-2</v>
      </c>
      <c r="H66" s="17">
        <f>H65*(1+Table2[[#This Row],[2011 discount rate]])</f>
        <v>601.98718269298979</v>
      </c>
      <c r="I66" s="19">
        <v>5.1999999999999998E-2</v>
      </c>
      <c r="J66" s="17">
        <f>J65*(1+Table2[[#This Row],[2014 discount rate]])</f>
        <v>429.37749593353527</v>
      </c>
      <c r="K66" s="10">
        <v>3.5099999999999999E-2</v>
      </c>
      <c r="L66" s="19">
        <f t="shared" si="19"/>
        <v>2.9758159442169072</v>
      </c>
      <c r="M66" s="18">
        <f t="shared" si="25"/>
        <v>238.54895665301441</v>
      </c>
      <c r="N66" s="18">
        <f>Table2[[#This Row],[Asset growth A1]]/(1+Table2[[#This Row],[Compounded CPI]])</f>
        <v>104.11625671904635</v>
      </c>
      <c r="O66" s="18">
        <f>O65*(1+Table2[[#This Row],[Discount rate A1]])+0.5*(1+Table2[[#This Row],[Compounded salary growth]])</f>
        <v>342.02279236099201</v>
      </c>
      <c r="P66" s="10">
        <f>Table2[[#This Row],[CPI]]+1.7%</f>
        <v>3.5100000000000006E-2</v>
      </c>
      <c r="Q66" s="19">
        <f t="shared" si="37"/>
        <v>2.77551954534044</v>
      </c>
      <c r="R66" s="18">
        <f t="shared" si="26"/>
        <v>226.53117272042644</v>
      </c>
      <c r="S66" s="18">
        <f>Table2[[#This Row],[Asset growth A2]]/(1+Table2[Compounded CPI])</f>
        <v>98.871016099782679</v>
      </c>
      <c r="T66" s="17">
        <f>Table2[[#This Row],[Asset growth A1]]-Table2[[#This Row],[Asset growth A2]]</f>
        <v>12.017783932587975</v>
      </c>
      <c r="U66" s="17">
        <f t="shared" si="27"/>
        <v>3.0227213988788018</v>
      </c>
      <c r="V66" s="17">
        <f>Table2[[#This Row],[Difference in assets (A2 - A1)]]/(1+Table2[[#This Row],[Compounded CPI]])</f>
        <v>5.2452406192636714</v>
      </c>
      <c r="W66" s="40">
        <f t="shared" si="22"/>
        <v>4.6100000000000002E-2</v>
      </c>
      <c r="X66" s="17">
        <f t="shared" si="28"/>
        <v>318.98944449066369</v>
      </c>
      <c r="Y66" s="17">
        <f>Table2[[#This Row],[Asset growth B]]/(1+Table2[Compounded CPI])</f>
        <v>139.22503522647978</v>
      </c>
      <c r="Z66" s="17">
        <f>Z65*(1+Table2[[#This Row],[Discount rate B]])+0.5*(1+Table2[[#This Row],[Compounded salary growth]])</f>
        <v>444.68073973351358</v>
      </c>
      <c r="AA66" s="17">
        <f t="shared" si="29"/>
        <v>80.440487837649272</v>
      </c>
      <c r="AB66" s="17">
        <f t="shared" si="30"/>
        <v>20.232447619879235</v>
      </c>
      <c r="AC66" s="17">
        <f>Table2[[#This Row],[Difference in assets (B - A1)]]/(1+Table2[[#This Row],[Compounded CPI]])</f>
        <v>35.108778507433414</v>
      </c>
      <c r="AD66" s="17">
        <f t="shared" si="23"/>
        <v>92.458271770237246</v>
      </c>
      <c r="AE66" s="17">
        <f t="shared" si="31"/>
        <v>24.48888706836247</v>
      </c>
      <c r="AF66" s="17">
        <f>Table2[[#This Row],[Difference in assets (B - A2)]]/(1+Table2[[#This Row],[Compounded CPI]])</f>
        <v>40.354019126697082</v>
      </c>
      <c r="AG66" s="40">
        <v>3.5099999999999999E-2</v>
      </c>
      <c r="AH66" s="17">
        <f t="shared" si="18"/>
        <v>258.12810490962823</v>
      </c>
      <c r="AI66" s="17">
        <f t="shared" si="24"/>
        <v>19.57914825661382</v>
      </c>
      <c r="AJ66" s="41">
        <f t="shared" si="32"/>
        <v>4.9245610288104542</v>
      </c>
      <c r="AK66" s="10">
        <v>1.8100000000000002E-2</v>
      </c>
      <c r="AL66" s="12">
        <f>(1+Table2[[#This Row],[CPI]])*(1+AL65)-1</f>
        <v>1.2911787666044261</v>
      </c>
      <c r="AM66" s="12">
        <f t="shared" si="20"/>
        <v>3.8100000000000002E-2</v>
      </c>
      <c r="AN66" s="30">
        <f>(1+Table2[[#This Row],[Salary growth]])*(1+AN65)-1</f>
        <v>4.1317220483975952</v>
      </c>
      <c r="AO66" s="16">
        <f t="shared" si="33"/>
        <v>22.911787666044258</v>
      </c>
      <c r="AP66" s="18">
        <f t="shared" si="34"/>
        <v>29.785323965857543</v>
      </c>
      <c r="AQ66" s="18">
        <f>AQ65*(1+Table2[[#This Row],[Salary growth]])</f>
        <v>51.317220483975952</v>
      </c>
      <c r="AR66" s="20">
        <f t="shared" si="35"/>
        <v>66.712386629168762</v>
      </c>
      <c r="AS66" s="25">
        <f t="shared" si="36"/>
        <v>287.31703740040768</v>
      </c>
    </row>
    <row r="67" spans="1:45" x14ac:dyDescent="0.35">
      <c r="A67" s="8">
        <v>2061</v>
      </c>
      <c r="B67" s="61"/>
      <c r="C67" s="61"/>
      <c r="D67" s="61"/>
      <c r="E67" s="40">
        <v>6.0999999999999999E-2</v>
      </c>
      <c r="F67" s="17">
        <f>F66*(1+Table2[[#This Row],[2008 discount rate]])</f>
        <v>777.24324731709919</v>
      </c>
      <c r="G67" s="19">
        <v>6.0999999999999999E-2</v>
      </c>
      <c r="H67" s="17">
        <f>H66*(1+Table2[[#This Row],[2011 discount rate]])</f>
        <v>638.70840083726216</v>
      </c>
      <c r="I67" s="19">
        <v>5.1999999999999998E-2</v>
      </c>
      <c r="J67" s="17">
        <f>J66*(1+Table2[[#This Row],[2014 discount rate]])</f>
        <v>451.70512572207912</v>
      </c>
      <c r="K67" s="10">
        <v>3.6400000000000002E-2</v>
      </c>
      <c r="L67" s="19">
        <f t="shared" si="19"/>
        <v>3.1205356445864023</v>
      </c>
      <c r="M67" s="18">
        <f t="shared" si="25"/>
        <v>247.23213867518413</v>
      </c>
      <c r="N67" s="18">
        <f>Table2[[#This Row],[Asset growth A1]]/(1+Table2[[#This Row],[Compounded CPI]])</f>
        <v>105.85254901277185</v>
      </c>
      <c r="O67" s="18">
        <f>O66*(1+Table2[[#This Row],[Discount rate A1]])+0.5*(1+Table2[[#This Row],[Compounded salary growth]])</f>
        <v>357.13937795148433</v>
      </c>
      <c r="P67" s="10">
        <f>Table2[[#This Row],[CPI]]+1.7%</f>
        <v>3.6400000000000002E-2</v>
      </c>
      <c r="Q67" s="19">
        <f t="shared" si="37"/>
        <v>2.9129484567908319</v>
      </c>
      <c r="R67" s="18">
        <f t="shared" si="26"/>
        <v>234.77690740744995</v>
      </c>
      <c r="S67" s="18">
        <f>Table2[[#This Row],[Asset growth A2]]/(1+Table2[Compounded CPI])</f>
        <v>100.51983626232564</v>
      </c>
      <c r="T67" s="17">
        <f>Table2[[#This Row],[Asset growth A1]]-Table2[[#This Row],[Asset growth A2]]</f>
        <v>12.455231267734177</v>
      </c>
      <c r="U67" s="17">
        <f t="shared" si="27"/>
        <v>3.0227213988788022</v>
      </c>
      <c r="V67" s="17">
        <f>Table2[[#This Row],[Difference in assets (A2 - A1)]]/(1+Table2[[#This Row],[Compounded CPI]])</f>
        <v>5.3327127504462117</v>
      </c>
      <c r="W67" s="40">
        <f t="shared" si="22"/>
        <v>4.7399999999999998E-2</v>
      </c>
      <c r="X67" s="17">
        <f t="shared" si="28"/>
        <v>334.10954415952119</v>
      </c>
      <c r="Y67" s="17">
        <f>Table2[[#This Row],[Asset growth B]]/(1+Table2[Compounded CPI])</f>
        <v>143.04914841692653</v>
      </c>
      <c r="Z67" s="17">
        <f>Z66*(1+Table2[[#This Row],[Discount rate B]])+0.5*(1+Table2[[#This Row],[Compounded salary growth]])</f>
        <v>468.42556274543443</v>
      </c>
      <c r="AA67" s="17">
        <f t="shared" si="29"/>
        <v>86.877405484337061</v>
      </c>
      <c r="AB67" s="17">
        <f t="shared" si="30"/>
        <v>21.084007754787269</v>
      </c>
      <c r="AC67" s="17">
        <f>Table2[[#This Row],[Difference in assets (B - A1)]]/(1+Table2[[#This Row],[Compounded CPI]])</f>
        <v>37.196599404154682</v>
      </c>
      <c r="AD67" s="17">
        <f t="shared" si="23"/>
        <v>99.332636752071238</v>
      </c>
      <c r="AE67" s="17">
        <f t="shared" si="31"/>
        <v>25.385623615788177</v>
      </c>
      <c r="AF67" s="17">
        <f>Table2[[#This Row],[Difference in assets (B - A2)]]/(1+Table2[[#This Row],[Compounded CPI]])</f>
        <v>42.529312154600895</v>
      </c>
      <c r="AG67" s="40">
        <v>3.6400000000000002E-2</v>
      </c>
      <c r="AH67" s="17">
        <f t="shared" si="18"/>
        <v>267.52396792833872</v>
      </c>
      <c r="AI67" s="17">
        <f t="shared" si="24"/>
        <v>20.291829253154589</v>
      </c>
      <c r="AJ67" s="41">
        <f t="shared" si="32"/>
        <v>4.9245610288104604</v>
      </c>
      <c r="AK67" s="10">
        <v>1.9400000000000001E-2</v>
      </c>
      <c r="AL67" s="12">
        <f>(1+Table2[[#This Row],[CPI]])*(1+AL66)-1</f>
        <v>1.3356276346765523</v>
      </c>
      <c r="AM67" s="12">
        <f t="shared" si="20"/>
        <v>3.9400000000000004E-2</v>
      </c>
      <c r="AN67" s="30">
        <f>(1+Table2[[#This Row],[Salary growth]])*(1+AN66)-1</f>
        <v>4.3339118971044606</v>
      </c>
      <c r="AO67" s="16">
        <f t="shared" si="33"/>
        <v>23.356276346765519</v>
      </c>
      <c r="AP67" s="18">
        <f t="shared" si="34"/>
        <v>30.363159250795182</v>
      </c>
      <c r="AQ67" s="18">
        <f>AQ66*(1+Table2[[#This Row],[Salary growth]])</f>
        <v>53.339118971044613</v>
      </c>
      <c r="AR67" s="20">
        <f t="shared" si="35"/>
        <v>69.340854662358012</v>
      </c>
      <c r="AS67" s="25">
        <f t="shared" si="36"/>
        <v>297.77537756178253</v>
      </c>
    </row>
    <row r="68" spans="1:45" x14ac:dyDescent="0.35">
      <c r="A68" s="8">
        <v>2062</v>
      </c>
      <c r="B68" s="61"/>
      <c r="C68" s="61"/>
      <c r="D68" s="61"/>
      <c r="E68" s="40">
        <v>6.0999999999999999E-2</v>
      </c>
      <c r="F68" s="17">
        <f>F67*(1+Table2[[#This Row],[2008 discount rate]])</f>
        <v>824.65508540344217</v>
      </c>
      <c r="G68" s="19">
        <v>6.0999999999999999E-2</v>
      </c>
      <c r="H68" s="17">
        <f>H67*(1+Table2[[#This Row],[2011 discount rate]])</f>
        <v>677.66961328833509</v>
      </c>
      <c r="I68" s="19">
        <v>5.1999999999999998E-2</v>
      </c>
      <c r="J68" s="17">
        <f>J67*(1+Table2[[#This Row],[2014 discount rate]])</f>
        <v>475.19379225962723</v>
      </c>
      <c r="K68" s="10">
        <v>3.7699999999999997E-2</v>
      </c>
      <c r="L68" s="19">
        <f t="shared" si="19"/>
        <v>3.2758798383873096</v>
      </c>
      <c r="M68" s="18">
        <f t="shared" si="25"/>
        <v>256.55279030323857</v>
      </c>
      <c r="N68" s="18">
        <f>Table2[[#This Row],[Asset growth A1]]/(1+Table2[[#This Row],[Compounded CPI]])</f>
        <v>107.61554826153949</v>
      </c>
      <c r="O68" s="18">
        <f>O67*(1+Table2[[#This Row],[Discount rate A1]])+0.5*(1+Table2[[#This Row],[Compounded salary growth]])</f>
        <v>373.37903355591362</v>
      </c>
      <c r="P68" s="10">
        <f>Table2[[#This Row],[CPI]]+1.7%</f>
        <v>3.7699999999999997E-2</v>
      </c>
      <c r="Q68" s="19">
        <f t="shared" si="37"/>
        <v>3.0604666136118466</v>
      </c>
      <c r="R68" s="18">
        <f t="shared" si="26"/>
        <v>243.62799681671083</v>
      </c>
      <c r="S68" s="18">
        <f>Table2[[#This Row],[Asset growth A2]]/(1+Table2[Compounded CPI])</f>
        <v>102.19401791850233</v>
      </c>
      <c r="T68" s="17">
        <f>Table2[[#This Row],[Asset growth A1]]-Table2[[#This Row],[Asset growth A2]]</f>
        <v>12.924793486527733</v>
      </c>
      <c r="U68" s="17">
        <f t="shared" si="27"/>
        <v>3.0227213988787969</v>
      </c>
      <c r="V68" s="17">
        <f>Table2[[#This Row],[Difference in assets (A2 - A1)]]/(1+Table2[[#This Row],[Compounded CPI]])</f>
        <v>5.4215303430371558</v>
      </c>
      <c r="W68" s="40">
        <f t="shared" si="22"/>
        <v>4.8699999999999993E-2</v>
      </c>
      <c r="X68" s="17">
        <f t="shared" si="28"/>
        <v>350.38067896008988</v>
      </c>
      <c r="Y68" s="17">
        <f>Table2[[#This Row],[Asset growth B]]/(1+Table2[Compounded CPI])</f>
        <v>146.97329474363758</v>
      </c>
      <c r="Z68" s="17">
        <f>Z67*(1+Table2[[#This Row],[Discount rate B]])+0.5*(1+Table2[[#This Row],[Compounded salary growth]])</f>
        <v>494.01338870679541</v>
      </c>
      <c r="AA68" s="17">
        <f t="shared" si="29"/>
        <v>93.827888656851314</v>
      </c>
      <c r="AB68" s="17">
        <f t="shared" si="30"/>
        <v>21.943527929503144</v>
      </c>
      <c r="AC68" s="17">
        <f>Table2[[#This Row],[Difference in assets (B - A1)]]/(1+Table2[[#This Row],[Compounded CPI]])</f>
        <v>39.357746482098086</v>
      </c>
      <c r="AD68" s="17">
        <f t="shared" si="23"/>
        <v>106.75268214337905</v>
      </c>
      <c r="AE68" s="17">
        <f t="shared" si="31"/>
        <v>26.290742493858588</v>
      </c>
      <c r="AF68" s="17">
        <f>Table2[[#This Row],[Difference in assets (B - A2)]]/(1+Table2[[#This Row],[Compounded CPI]])</f>
        <v>44.779276825135241</v>
      </c>
      <c r="AG68" s="40">
        <v>3.7699999999999997E-2</v>
      </c>
      <c r="AH68" s="17">
        <f t="shared" si="18"/>
        <v>277.60962151923712</v>
      </c>
      <c r="AI68" s="17">
        <f t="shared" si="24"/>
        <v>21.056831215998557</v>
      </c>
      <c r="AJ68" s="41">
        <f t="shared" si="32"/>
        <v>4.9245610288104702</v>
      </c>
      <c r="AK68" s="10">
        <v>2.07E-2</v>
      </c>
      <c r="AL68" s="12">
        <f>(1+Table2[[#This Row],[CPI]])*(1+AL67)-1</f>
        <v>1.3839751267143567</v>
      </c>
      <c r="AM68" s="12">
        <f t="shared" si="20"/>
        <v>4.07E-2</v>
      </c>
      <c r="AN68" s="30">
        <f>(1+Table2[[#This Row],[Salary growth]])*(1+AN67)-1</f>
        <v>4.5510021113166115</v>
      </c>
      <c r="AO68" s="16">
        <f t="shared" si="33"/>
        <v>23.839751267143562</v>
      </c>
      <c r="AP68" s="18">
        <f t="shared" si="34"/>
        <v>30.991676647286639</v>
      </c>
      <c r="AQ68" s="18">
        <f>AQ67*(1+Table2[[#This Row],[Salary growth]])</f>
        <v>55.510021113166125</v>
      </c>
      <c r="AR68" s="20">
        <f t="shared" si="35"/>
        <v>72.163027447115979</v>
      </c>
      <c r="AS68" s="25">
        <f t="shared" si="36"/>
        <v>309.00150929586175</v>
      </c>
    </row>
    <row r="69" spans="1:45" x14ac:dyDescent="0.35">
      <c r="A69" s="8">
        <v>2063</v>
      </c>
      <c r="B69" s="61"/>
      <c r="C69" s="61"/>
      <c r="D69" s="61"/>
      <c r="E69" s="40">
        <v>6.0999999999999999E-2</v>
      </c>
      <c r="F69" s="17">
        <f>F68*(1+Table2[[#This Row],[2008 discount rate]])</f>
        <v>874.95904561305213</v>
      </c>
      <c r="G69" s="19">
        <v>6.0999999999999999E-2</v>
      </c>
      <c r="H69" s="17">
        <f>H68*(1+Table2[[#This Row],[2011 discount rate]])</f>
        <v>719.00745969892353</v>
      </c>
      <c r="I69" s="19">
        <v>5.1999999999999998E-2</v>
      </c>
      <c r="J69" s="17">
        <f>J68*(1+Table2[[#This Row],[2014 discount rate]])</f>
        <v>499.90386945712788</v>
      </c>
      <c r="K69" s="10">
        <v>3.9100000000000003E-2</v>
      </c>
      <c r="L69" s="19">
        <f t="shared" si="19"/>
        <v>3.4430667400682529</v>
      </c>
      <c r="M69" s="18">
        <f t="shared" si="25"/>
        <v>266.5840044040952</v>
      </c>
      <c r="N69" s="18">
        <f>Table2[[#This Row],[Asset growth A1]]/(1+Table2[[#This Row],[Compounded CPI]])</f>
        <v>109.40545562916121</v>
      </c>
      <c r="O69" s="18">
        <f>O68*(1+Table2[[#This Row],[Discount rate A1]])+0.5*(1+Table2[[#This Row],[Compounded salary growth]])</f>
        <v>390.87050341805133</v>
      </c>
      <c r="P69" s="10">
        <f>Table2[[#This Row],[CPI]]+1.7%</f>
        <v>3.9100000000000003E-2</v>
      </c>
      <c r="Q69" s="19">
        <f t="shared" si="37"/>
        <v>3.2192308582040692</v>
      </c>
      <c r="R69" s="18">
        <f t="shared" si="26"/>
        <v>253.1538514922442</v>
      </c>
      <c r="S69" s="18">
        <f>Table2[[#This Row],[Asset growth A2]]/(1+Table2[Compounded CPI])</f>
        <v>103.89375209775537</v>
      </c>
      <c r="T69" s="17">
        <f>Table2[[#This Row],[Asset growth A1]]-Table2[[#This Row],[Asset growth A2]]</f>
        <v>13.430152911850996</v>
      </c>
      <c r="U69" s="17">
        <f t="shared" si="27"/>
        <v>3.022721398878804</v>
      </c>
      <c r="V69" s="17">
        <f>Table2[[#This Row],[Difference in assets (A2 - A1)]]/(1+Table2[[#This Row],[Compounded CPI]])</f>
        <v>5.5117035314058507</v>
      </c>
      <c r="W69" s="40">
        <f t="shared" si="22"/>
        <v>5.0099999999999999E-2</v>
      </c>
      <c r="X69" s="17">
        <f t="shared" si="28"/>
        <v>367.93475097599037</v>
      </c>
      <c r="Y69" s="17">
        <f>Table2[[#This Row],[Asset growth B]]/(1+Table2[Compounded CPI])</f>
        <v>150.99956639300831</v>
      </c>
      <c r="Z69" s="17">
        <f>Z68*(1+Table2[[#This Row],[Discount rate B]])+0.5*(1+Table2[[#This Row],[Compounded salary growth]])</f>
        <v>521.65580913110739</v>
      </c>
      <c r="AA69" s="17">
        <f t="shared" si="29"/>
        <v>101.35074657189517</v>
      </c>
      <c r="AB69" s="17">
        <f t="shared" si="30"/>
        <v>22.810989008537437</v>
      </c>
      <c r="AC69" s="17">
        <f>Table2[[#This Row],[Difference in assets (B - A1)]]/(1+Table2[[#This Row],[Compounded CPI]])</f>
        <v>41.594110763847105</v>
      </c>
      <c r="AD69" s="17">
        <f t="shared" si="23"/>
        <v>114.78089948374617</v>
      </c>
      <c r="AE69" s="17">
        <f t="shared" si="31"/>
        <v>27.204223551920805</v>
      </c>
      <c r="AF69" s="17">
        <f>Table2[[#This Row],[Difference in assets (B - A2)]]/(1+Table2[[#This Row],[Compounded CPI]])</f>
        <v>47.105814295252955</v>
      </c>
      <c r="AG69" s="40">
        <v>3.9100000000000003E-2</v>
      </c>
      <c r="AH69" s="17">
        <f t="shared" si="18"/>
        <v>288.46415772063926</v>
      </c>
      <c r="AI69" s="17">
        <f t="shared" si="24"/>
        <v>21.880153316544067</v>
      </c>
      <c r="AJ69" s="41">
        <f t="shared" si="32"/>
        <v>4.9245610288104631</v>
      </c>
      <c r="AK69" s="10">
        <v>2.2100000000000002E-2</v>
      </c>
      <c r="AL69" s="12">
        <f>(1+Table2[[#This Row],[CPI]])*(1+AL68)-1</f>
        <v>1.436660977014744</v>
      </c>
      <c r="AM69" s="12">
        <f t="shared" si="20"/>
        <v>4.2099999999999999E-2</v>
      </c>
      <c r="AN69" s="30">
        <f>(1+Table2[[#This Row],[Salary growth]])*(1+AN68)-1</f>
        <v>4.7846993002030409</v>
      </c>
      <c r="AO69" s="16">
        <f t="shared" si="33"/>
        <v>24.366609770147434</v>
      </c>
      <c r="AP69" s="18">
        <f t="shared" si="34"/>
        <v>31.676592701191673</v>
      </c>
      <c r="AQ69" s="18">
        <f>AQ68*(1+Table2[[#This Row],[Salary growth]])</f>
        <v>57.846993002030423</v>
      </c>
      <c r="AR69" s="20">
        <f t="shared" si="35"/>
        <v>75.201090902639564</v>
      </c>
      <c r="AS69" s="25">
        <f t="shared" si="36"/>
        <v>321.08346830932993</v>
      </c>
    </row>
    <row r="70" spans="1:45" x14ac:dyDescent="0.35">
      <c r="A70" s="8">
        <v>2064</v>
      </c>
      <c r="B70" s="61"/>
      <c r="C70" s="61"/>
      <c r="D70" s="61"/>
      <c r="E70" s="40">
        <v>6.0999999999999999E-2</v>
      </c>
      <c r="F70" s="17">
        <f>F69*(1+Table2[[#This Row],[2008 discount rate]])</f>
        <v>928.3315473954483</v>
      </c>
      <c r="G70" s="19">
        <v>6.0999999999999999E-2</v>
      </c>
      <c r="H70" s="17">
        <f>H69*(1+Table2[[#This Row],[2011 discount rate]])</f>
        <v>762.86691474055783</v>
      </c>
      <c r="I70" s="19">
        <v>5.1999999999999998E-2</v>
      </c>
      <c r="J70" s="17">
        <f>J69*(1+Table2[[#This Row],[2014 discount rate]])</f>
        <v>525.89887066889855</v>
      </c>
      <c r="K70" s="10">
        <v>4.0500000000000001E-2</v>
      </c>
      <c r="L70" s="19">
        <f t="shared" si="19"/>
        <v>3.6230109430410167</v>
      </c>
      <c r="M70" s="18">
        <f t="shared" si="25"/>
        <v>277.38065658246103</v>
      </c>
      <c r="N70" s="18">
        <f>Table2[[#This Row],[Asset growth A1]]/(1+Table2[[#This Row],[Compounded CPI]])</f>
        <v>111.22264443785269</v>
      </c>
      <c r="O70" s="18">
        <f>O69*(1+Table2[[#This Row],[Discount rate A1]])+0.5*(1+Table2[[#This Row],[Compounded salary growth]])</f>
        <v>409.7189256663633</v>
      </c>
      <c r="P70" s="10">
        <f>Table2[[#This Row],[CPI]]+1.7%</f>
        <v>4.0500000000000001E-2</v>
      </c>
      <c r="Q70" s="19">
        <f t="shared" si="37"/>
        <v>3.3901097079613338</v>
      </c>
      <c r="R70" s="18">
        <f t="shared" si="26"/>
        <v>263.4065824776801</v>
      </c>
      <c r="S70" s="18">
        <f>Table2[[#This Row],[Asset growth A2]]/(1+Table2[Compounded CPI])</f>
        <v>105.61939331481628</v>
      </c>
      <c r="T70" s="17">
        <f>Table2[[#This Row],[Asset growth A1]]-Table2[[#This Row],[Asset growth A2]]</f>
        <v>13.974074104780925</v>
      </c>
      <c r="U70" s="17">
        <f t="shared" si="27"/>
        <v>3.0227213988787964</v>
      </c>
      <c r="V70" s="17">
        <f>Table2[[#This Row],[Difference in assets (A2 - A1)]]/(1+Table2[[#This Row],[Compounded CPI]])</f>
        <v>5.6032511230364177</v>
      </c>
      <c r="W70" s="40">
        <f t="shared" si="22"/>
        <v>5.1499999999999997E-2</v>
      </c>
      <c r="X70" s="17">
        <f t="shared" si="28"/>
        <v>386.88339065125393</v>
      </c>
      <c r="Y70" s="17">
        <f>Table2[[#This Row],[Asset growth B]]/(1+Table2[Compounded CPI])</f>
        <v>155.13047783316881</v>
      </c>
      <c r="Z70" s="17">
        <f>Z69*(1+Table2[[#This Row],[Discount rate B]])+0.5*(1+Table2[[#This Row],[Compounded salary growth]])</f>
        <v>551.53925016124037</v>
      </c>
      <c r="AA70" s="17">
        <f t="shared" si="29"/>
        <v>109.5027340687929</v>
      </c>
      <c r="AB70" s="17">
        <f t="shared" si="30"/>
        <v>23.686453572779563</v>
      </c>
      <c r="AC70" s="17">
        <f>Table2[[#This Row],[Difference in assets (B - A1)]]/(1+Table2[[#This Row],[Compounded CPI]])</f>
        <v>43.907833395316111</v>
      </c>
      <c r="AD70" s="17">
        <f t="shared" si="23"/>
        <v>123.47680817357383</v>
      </c>
      <c r="AE70" s="17">
        <f t="shared" si="31"/>
        <v>28.126132690864718</v>
      </c>
      <c r="AF70" s="17">
        <f>Table2[[#This Row],[Difference in assets (B - A2)]]/(1+Table2[[#This Row],[Compounded CPI]])</f>
        <v>49.511084518352526</v>
      </c>
      <c r="AG70" s="40">
        <v>4.0500000000000001E-2</v>
      </c>
      <c r="AH70" s="17">
        <f t="shared" si="18"/>
        <v>300.14695610832513</v>
      </c>
      <c r="AI70" s="17">
        <f t="shared" si="24"/>
        <v>22.766299525864099</v>
      </c>
      <c r="AJ70" s="41">
        <f t="shared" si="32"/>
        <v>4.9245610288104631</v>
      </c>
      <c r="AK70" s="10">
        <v>2.35E-2</v>
      </c>
      <c r="AL70" s="12">
        <f>(1+Table2[[#This Row],[CPI]])*(1+AL69)-1</f>
        <v>1.4939225099745905</v>
      </c>
      <c r="AM70" s="12">
        <f t="shared" si="20"/>
        <v>4.3499999999999997E-2</v>
      </c>
      <c r="AN70" s="30">
        <f>(1+Table2[[#This Row],[Salary growth]])*(1+AN69)-1</f>
        <v>5.0363337197618741</v>
      </c>
      <c r="AO70" s="16">
        <f t="shared" si="33"/>
        <v>24.939225099745901</v>
      </c>
      <c r="AP70" s="18">
        <f t="shared" si="34"/>
        <v>32.420992629669676</v>
      </c>
      <c r="AQ70" s="18">
        <f>AQ69*(1+Table2[[#This Row],[Salary growth]])</f>
        <v>60.363337197618755</v>
      </c>
      <c r="AR70" s="20">
        <f t="shared" si="35"/>
        <v>78.472338356904388</v>
      </c>
      <c r="AS70" s="25">
        <f t="shared" si="36"/>
        <v>334.08734877585778</v>
      </c>
    </row>
    <row r="71" spans="1:45" x14ac:dyDescent="0.35">
      <c r="A71" s="8">
        <v>2065</v>
      </c>
      <c r="B71" s="61"/>
      <c r="C71" s="61"/>
      <c r="D71" s="61"/>
      <c r="E71" s="40">
        <v>6.0999999999999999E-2</v>
      </c>
      <c r="F71" s="17">
        <f>F70*(1+Table2[[#This Row],[2008 discount rate]])</f>
        <v>984.95977178657063</v>
      </c>
      <c r="G71" s="19">
        <v>6.0999999999999999E-2</v>
      </c>
      <c r="H71" s="17">
        <f>H70*(1+Table2[[#This Row],[2011 discount rate]])</f>
        <v>809.40179653973178</v>
      </c>
      <c r="I71" s="19">
        <v>5.1999999999999998E-2</v>
      </c>
      <c r="J71" s="17">
        <f>J70*(1+Table2[[#This Row],[2014 discount rate]])</f>
        <v>553.2456119436813</v>
      </c>
      <c r="K71" s="10">
        <v>4.19E-2</v>
      </c>
      <c r="L71" s="19">
        <f t="shared" si="19"/>
        <v>3.8167151015544354</v>
      </c>
      <c r="M71" s="18">
        <f t="shared" si="25"/>
        <v>289.00290609326618</v>
      </c>
      <c r="N71" s="18">
        <f>Table2[[#This Row],[Asset growth A1]]/(1+Table2[[#This Row],[Compounded CPI]])</f>
        <v>113.06749267225948</v>
      </c>
      <c r="O71" s="18">
        <f>O70*(1+Table2[[#This Row],[Discount rate A1]])+0.5*(1+Table2[[#This Row],[Compounded salary growth]])</f>
        <v>430.03983120367354</v>
      </c>
      <c r="P71" s="10">
        <f>Table2[[#This Row],[CPI]]+1.7%</f>
        <v>4.19E-2</v>
      </c>
      <c r="Q71" s="19">
        <f t="shared" si="37"/>
        <v>3.5740553047249142</v>
      </c>
      <c r="R71" s="18">
        <f t="shared" si="26"/>
        <v>274.44331828349493</v>
      </c>
      <c r="S71" s="18">
        <f>Table2[[#This Row],[Asset growth A2]]/(1+Table2[Compounded CPI])</f>
        <v>107.3713005119593</v>
      </c>
      <c r="T71" s="17">
        <f>Table2[[#This Row],[Asset growth A1]]-Table2[[#This Row],[Asset growth A2]]</f>
        <v>14.559587809771244</v>
      </c>
      <c r="U71" s="17">
        <f t="shared" si="27"/>
        <v>3.022721398878796</v>
      </c>
      <c r="V71" s="17">
        <f>Table2[[#This Row],[Difference in assets (A2 - A1)]]/(1+Table2[[#This Row],[Compounded CPI]])</f>
        <v>5.6961921603001686</v>
      </c>
      <c r="W71" s="40">
        <f t="shared" si="22"/>
        <v>5.2899999999999996E-2</v>
      </c>
      <c r="X71" s="17">
        <f t="shared" si="28"/>
        <v>407.34952201670524</v>
      </c>
      <c r="Y71" s="17">
        <f>Table2[[#This Row],[Asset growth B]]/(1+Table2[Compounded CPI])</f>
        <v>159.36860192266897</v>
      </c>
      <c r="Z71" s="17">
        <f>Z70*(1+Table2[[#This Row],[Discount rate B]])+0.5*(1+Table2[[#This Row],[Compounded salary growth]])</f>
        <v>583.8693590466595</v>
      </c>
      <c r="AA71" s="17">
        <f t="shared" si="29"/>
        <v>118.34661592343906</v>
      </c>
      <c r="AB71" s="17">
        <f t="shared" si="30"/>
        <v>24.569984611555416</v>
      </c>
      <c r="AC71" s="17">
        <f>Table2[[#This Row],[Difference in assets (B - A1)]]/(1+Table2[[#This Row],[Compounded CPI]])</f>
        <v>46.301109250409496</v>
      </c>
      <c r="AD71" s="17">
        <f t="shared" si="23"/>
        <v>132.9062037332103</v>
      </c>
      <c r="AE71" s="17">
        <f t="shared" si="31"/>
        <v>29.056536241684849</v>
      </c>
      <c r="AF71" s="17">
        <f>Table2[[#This Row],[Difference in assets (B - A2)]]/(1+Table2[[#This Row],[Compounded CPI]])</f>
        <v>51.99730141070966</v>
      </c>
      <c r="AG71" s="40">
        <v>4.19E-2</v>
      </c>
      <c r="AH71" s="17">
        <f t="shared" si="18"/>
        <v>312.72311356926394</v>
      </c>
      <c r="AI71" s="17">
        <f t="shared" si="24"/>
        <v>23.720207475997768</v>
      </c>
      <c r="AJ71" s="41">
        <f t="shared" si="32"/>
        <v>4.9245610288104551</v>
      </c>
      <c r="AK71" s="10">
        <v>2.4899999999999999E-2</v>
      </c>
      <c r="AL71" s="12">
        <f>(1+Table2[[#This Row],[CPI]])*(1+AL70)-1</f>
        <v>1.5560211804729578</v>
      </c>
      <c r="AM71" s="12">
        <f t="shared" si="20"/>
        <v>4.4899999999999995E-2</v>
      </c>
      <c r="AN71" s="30">
        <f>(1+Table2[[#This Row],[Salary growth]])*(1+AN70)-1</f>
        <v>5.3073651037791816</v>
      </c>
      <c r="AO71" s="16">
        <f t="shared" si="33"/>
        <v>25.560211804729573</v>
      </c>
      <c r="AP71" s="18">
        <f t="shared" si="34"/>
        <v>33.22827534614845</v>
      </c>
      <c r="AQ71" s="18">
        <f>AQ70*(1+Table2[[#This Row],[Salary growth]])</f>
        <v>63.073651037791834</v>
      </c>
      <c r="AR71" s="20">
        <f t="shared" si="35"/>
        <v>81.995746349129391</v>
      </c>
      <c r="AS71" s="25">
        <f t="shared" si="36"/>
        <v>348.08560868956624</v>
      </c>
    </row>
    <row r="72" spans="1:45" x14ac:dyDescent="0.35">
      <c r="A72" s="8">
        <v>2066</v>
      </c>
      <c r="B72" s="61"/>
      <c r="C72" s="61"/>
      <c r="D72" s="61"/>
      <c r="E72" s="40">
        <v>6.0999999999999999E-2</v>
      </c>
      <c r="F72" s="17">
        <f>F71*(1+Table2[[#This Row],[2008 discount rate]])</f>
        <v>1045.0423178655515</v>
      </c>
      <c r="G72" s="19">
        <v>6.0999999999999999E-2</v>
      </c>
      <c r="H72" s="17">
        <f>H71*(1+Table2[[#This Row],[2011 discount rate]])</f>
        <v>858.77530612865542</v>
      </c>
      <c r="I72" s="19">
        <v>5.1999999999999998E-2</v>
      </c>
      <c r="J72" s="17">
        <f>J71*(1+Table2[[#This Row],[2014 discount rate]])</f>
        <v>582.01438376475278</v>
      </c>
      <c r="K72" s="10">
        <v>4.3299999999999998E-2</v>
      </c>
      <c r="L72" s="19">
        <f t="shared" si="19"/>
        <v>4.0252788654517415</v>
      </c>
      <c r="M72" s="18">
        <f t="shared" si="25"/>
        <v>301.51673192710456</v>
      </c>
      <c r="N72" s="18">
        <f>Table2[[#This Row],[Asset growth A1]]/(1+Table2[[#This Row],[Compounded CPI]])</f>
        <v>114.94038303124651</v>
      </c>
      <c r="O72" s="18">
        <f>O71*(1+Table2[[#This Row],[Discount rate A1]])+0.5*(1+Table2[[#This Row],[Compounded salary growth]])</f>
        <v>451.96025394883463</v>
      </c>
      <c r="P72" s="10">
        <f>Table2[[#This Row],[CPI]]+1.7%</f>
        <v>4.3300000000000005E-2</v>
      </c>
      <c r="Q72" s="19">
        <f t="shared" si="37"/>
        <v>3.7721118994195022</v>
      </c>
      <c r="R72" s="18">
        <f t="shared" si="26"/>
        <v>286.32671396517026</v>
      </c>
      <c r="S72" s="18">
        <f>Table2[[#This Row],[Asset growth A2]]/(1+Table2[Compounded CPI])</f>
        <v>109.14983710818196</v>
      </c>
      <c r="T72" s="17">
        <f>Table2[[#This Row],[Asset growth A1]]-Table2[[#This Row],[Asset growth A2]]</f>
        <v>15.190017961934302</v>
      </c>
      <c r="U72" s="17">
        <f t="shared" si="27"/>
        <v>3.0227213988787889</v>
      </c>
      <c r="V72" s="17">
        <f>Table2[[#This Row],[Difference in assets (A2 - A1)]]/(1+Table2[[#This Row],[Compounded CPI]])</f>
        <v>5.7905459230645535</v>
      </c>
      <c r="W72" s="40">
        <f t="shared" si="22"/>
        <v>5.4300000000000001E-2</v>
      </c>
      <c r="X72" s="17">
        <f t="shared" si="28"/>
        <v>429.46860106221231</v>
      </c>
      <c r="Y72" s="17">
        <f>Table2[[#This Row],[Asset growth B]]/(1+Table2[Compounded CPI])</f>
        <v>163.71657118490683</v>
      </c>
      <c r="Z72" s="17">
        <f>Z71*(1+Table2[[#This Row],[Discount rate B]])+0.5*(1+Table2[[#This Row],[Compounded salary growth]])</f>
        <v>618.87316329693522</v>
      </c>
      <c r="AA72" s="17">
        <f t="shared" si="29"/>
        <v>127.95186913510776</v>
      </c>
      <c r="AB72" s="17">
        <f t="shared" si="30"/>
        <v>25.461645524741577</v>
      </c>
      <c r="AC72" s="17">
        <f>Table2[[#This Row],[Difference in assets (B - A1)]]/(1+Table2[[#This Row],[Compounded CPI]])</f>
        <v>48.776188153660328</v>
      </c>
      <c r="AD72" s="17">
        <f t="shared" si="23"/>
        <v>143.14188709704206</v>
      </c>
      <c r="AE72" s="17">
        <f t="shared" si="31"/>
        <v>29.99550096770664</v>
      </c>
      <c r="AF72" s="17">
        <f>Table2[[#This Row],[Difference in assets (B - A2)]]/(1+Table2[[#This Row],[Compounded CPI]])</f>
        <v>54.566734076724877</v>
      </c>
      <c r="AG72" s="40">
        <v>4.3299999999999998E-2</v>
      </c>
      <c r="AH72" s="17">
        <f t="shared" si="18"/>
        <v>326.26402438681305</v>
      </c>
      <c r="AI72" s="17">
        <f t="shared" si="24"/>
        <v>24.74729245970849</v>
      </c>
      <c r="AJ72" s="41">
        <f t="shared" si="32"/>
        <v>4.9245610288104604</v>
      </c>
      <c r="AK72" s="10">
        <v>2.63E-2</v>
      </c>
      <c r="AL72" s="12">
        <f>(1+Table2[[#This Row],[CPI]])*(1+AL71)-1</f>
        <v>1.6232445375193967</v>
      </c>
      <c r="AM72" s="12">
        <f t="shared" si="20"/>
        <v>4.6300000000000001E-2</v>
      </c>
      <c r="AN72" s="30">
        <f>(1+Table2[[#This Row],[Salary growth]])*(1+AN71)-1</f>
        <v>5.5993961080841581</v>
      </c>
      <c r="AO72" s="16">
        <f t="shared" si="33"/>
        <v>26.232445375193961</v>
      </c>
      <c r="AP72" s="18">
        <f t="shared" si="34"/>
        <v>34.102178987752154</v>
      </c>
      <c r="AQ72" s="18">
        <f>AQ71*(1+Table2[[#This Row],[Salary growth]])</f>
        <v>65.993961080841601</v>
      </c>
      <c r="AR72" s="20">
        <f t="shared" si="35"/>
        <v>85.792149405094079</v>
      </c>
      <c r="AS72" s="25">
        <f t="shared" si="36"/>
        <v>363.15771554582443</v>
      </c>
    </row>
    <row r="73" spans="1:45" x14ac:dyDescent="0.35">
      <c r="A73" s="8">
        <v>2067</v>
      </c>
      <c r="B73" s="61"/>
      <c r="C73" s="61"/>
      <c r="D73" s="61"/>
      <c r="E73" s="40">
        <v>6.0999999999999999E-2</v>
      </c>
      <c r="F73" s="17">
        <f>F72*(1+Table2[[#This Row],[2008 discount rate]])</f>
        <v>1108.7898992553501</v>
      </c>
      <c r="G73" s="19">
        <v>6.0999999999999999E-2</v>
      </c>
      <c r="H73" s="17">
        <f>H72*(1+Table2[[#This Row],[2011 discount rate]])</f>
        <v>911.16059980250338</v>
      </c>
      <c r="I73" s="19">
        <v>5.1999999999999998E-2</v>
      </c>
      <c r="J73" s="17">
        <f>J72*(1+Table2[[#This Row],[2014 discount rate]])</f>
        <v>612.2791317205199</v>
      </c>
      <c r="K73" s="10">
        <v>4.4699999999999997E-2</v>
      </c>
      <c r="L73" s="19">
        <f t="shared" si="19"/>
        <v>4.249908830737434</v>
      </c>
      <c r="M73" s="18">
        <f t="shared" si="25"/>
        <v>314.99452984424613</v>
      </c>
      <c r="N73" s="18">
        <f>Table2[[#This Row],[Asset growth A1]]/(1+Table2[[#This Row],[Compounded CPI]])</f>
        <v>116.8417029801919</v>
      </c>
      <c r="O73" s="18">
        <f>O72*(1+Table2[[#This Row],[Discount rate A1]])+0.5*(1+Table2[[#This Row],[Compounded salary growth]])</f>
        <v>475.61997095156744</v>
      </c>
      <c r="P73" s="10">
        <f>Table2[[#This Row],[CPI]]+1.7%</f>
        <v>4.4700000000000004E-2</v>
      </c>
      <c r="Q73" s="19">
        <f t="shared" si="37"/>
        <v>3.9854253013235539</v>
      </c>
      <c r="R73" s="18">
        <f t="shared" si="26"/>
        <v>299.12551807941338</v>
      </c>
      <c r="S73" s="18">
        <f>Table2[[#This Row],[Asset growth A2]]/(1+Table2[Compounded CPI])</f>
        <v>110.95537104886415</v>
      </c>
      <c r="T73" s="17">
        <f>Table2[[#This Row],[Asset growth A1]]-Table2[[#This Row],[Asset growth A2]]</f>
        <v>15.869011764832749</v>
      </c>
      <c r="U73" s="17">
        <f t="shared" si="27"/>
        <v>3.0227213988787862</v>
      </c>
      <c r="V73" s="17">
        <f>Table2[[#This Row],[Difference in assets (A2 - A1)]]/(1+Table2[[#This Row],[Compounded CPI]])</f>
        <v>5.8863319313277529</v>
      </c>
      <c r="W73" s="40">
        <f t="shared" si="22"/>
        <v>5.57E-2</v>
      </c>
      <c r="X73" s="17">
        <f t="shared" si="28"/>
        <v>453.39000214137758</v>
      </c>
      <c r="Y73" s="17">
        <f>Table2[[#This Row],[Asset growth B]]/(1+Table2[Compounded CPI])</f>
        <v>168.17707910859798</v>
      </c>
      <c r="Z73" s="17">
        <f>Z72*(1+Table2[[#This Row],[Discount rate B]])+0.5*(1+Table2[[#This Row],[Compounded salary growth]])</f>
        <v>656.80149214379446</v>
      </c>
      <c r="AA73" s="17">
        <f t="shared" si="29"/>
        <v>138.39547229713145</v>
      </c>
      <c r="AB73" s="17">
        <f t="shared" si="30"/>
        <v>26.361500124887232</v>
      </c>
      <c r="AC73" s="17">
        <f>Table2[[#This Row],[Difference in assets (B - A1)]]/(1+Table2[[#This Row],[Compounded CPI]])</f>
        <v>51.335376128406082</v>
      </c>
      <c r="AD73" s="17">
        <f t="shared" si="23"/>
        <v>154.2644840619642</v>
      </c>
      <c r="AE73" s="17">
        <f t="shared" si="31"/>
        <v>30.943094066821008</v>
      </c>
      <c r="AF73" s="17">
        <f>Table2[[#This Row],[Difference in assets (B - A2)]]/(1+Table2[[#This Row],[Compounded CPI]])</f>
        <v>57.221708059733835</v>
      </c>
      <c r="AG73" s="40">
        <v>4.4699999999999997E-2</v>
      </c>
      <c r="AH73" s="17">
        <f t="shared" si="18"/>
        <v>340.84802627690357</v>
      </c>
      <c r="AI73" s="17">
        <f t="shared" si="24"/>
        <v>25.853496432657437</v>
      </c>
      <c r="AJ73" s="41">
        <f t="shared" si="32"/>
        <v>4.924561028810456</v>
      </c>
      <c r="AK73" s="10">
        <v>2.7699999999999999E-2</v>
      </c>
      <c r="AL73" s="12">
        <f>(1+Table2[[#This Row],[CPI]])*(1+AL72)-1</f>
        <v>1.6959084112086842</v>
      </c>
      <c r="AM73" s="12">
        <f t="shared" si="20"/>
        <v>4.7699999999999999E-2</v>
      </c>
      <c r="AN73" s="30">
        <f>(1+Table2[[#This Row],[Salary growth]])*(1+AN72)-1</f>
        <v>5.9141873024397729</v>
      </c>
      <c r="AO73" s="16">
        <f t="shared" si="33"/>
        <v>26.959084112086835</v>
      </c>
      <c r="AP73" s="18">
        <f t="shared" si="34"/>
        <v>35.046809345712887</v>
      </c>
      <c r="AQ73" s="18">
        <f>AQ72*(1+Table2[[#This Row],[Salary growth]])</f>
        <v>69.141873024397754</v>
      </c>
      <c r="AR73" s="20">
        <f t="shared" si="35"/>
        <v>89.884434931717067</v>
      </c>
      <c r="AS73" s="25">
        <f t="shared" si="36"/>
        <v>379.39086543072278</v>
      </c>
    </row>
  </sheetData>
  <sortState ref="A1:F150">
    <sortCondition ref="A1:A150"/>
  </sortState>
  <mergeCells count="7">
    <mergeCell ref="AO5:AR5"/>
    <mergeCell ref="B5:D5"/>
    <mergeCell ref="AK5:AN5"/>
    <mergeCell ref="P5:V5"/>
    <mergeCell ref="K5:O5"/>
    <mergeCell ref="W5:AF5"/>
    <mergeCell ref="AG5:AJ5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topLeftCell="JF1" zoomScale="60" zoomScaleNormal="60" workbookViewId="0">
      <selection activeCell="JV2" sqref="JV2"/>
    </sheetView>
  </sheetViews>
  <sheetFormatPr defaultRowHeight="14.5" x14ac:dyDescent="0.35"/>
  <cols>
    <col min="1" max="1" width="3.0898437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>SoMaS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cp:lastPrinted>2017-12-10T18:13:40Z</cp:lastPrinted>
  <dcterms:created xsi:type="dcterms:W3CDTF">2017-09-04T06:15:34Z</dcterms:created>
  <dcterms:modified xsi:type="dcterms:W3CDTF">2017-12-13T18:16:52Z</dcterms:modified>
</cp:coreProperties>
</file>